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stieva_L\Desktop\Проект бюджета МО г.Владикавказ на 2022-2024 годы\"/>
    </mc:Choice>
  </mc:AlternateContent>
  <bookViews>
    <workbookView xWindow="0" yWindow="0" windowWidth="28800" windowHeight="12435" tabRatio="871" activeTab="4"/>
  </bookViews>
  <sheets>
    <sheet name="Доходы 2021 год" sheetId="34" r:id="rId1"/>
    <sheet name=" Ведомственная 2021 " sheetId="20" r:id="rId2"/>
    <sheet name="Расходы 2021" sheetId="21" r:id="rId3"/>
    <sheet name="МП, ВЦП и НПР 2021 год (2)" sheetId="35" r:id="rId4"/>
    <sheet name="Источники 2021 год" sheetId="33" r:id="rId5"/>
  </sheets>
  <definedNames>
    <definedName name="_xlnm._FilterDatabase" localSheetId="1" hidden="1">' Ведомственная 2021 '!$A$6:$J$1090</definedName>
    <definedName name="_xlnm._FilterDatabase" localSheetId="0" hidden="1">'Доходы 2021 год'!$A$20:$E$20</definedName>
    <definedName name="_xlnm._FilterDatabase" localSheetId="3" hidden="1">'МП, ВЦП и НПР 2021 год (2)'!$A$6:$I$1053</definedName>
    <definedName name="_xlnm._FilterDatabase" localSheetId="2" hidden="1">'Расходы 2021'!$A$8:$I$821</definedName>
    <definedName name="_xlnm.Print_Titles" localSheetId="1">' Ведомственная 2021 '!$6:$6</definedName>
    <definedName name="_xlnm.Print_Titles" localSheetId="3">'МП, ВЦП и НПР 2021 год (2)'!$6:$6</definedName>
    <definedName name="_xlnm.Print_Titles" localSheetId="2">'Расходы 2021'!$6:$6</definedName>
    <definedName name="_xlnm.Print_Area" localSheetId="1">' Ведомственная 2021 '!$A$1:$J$1092</definedName>
    <definedName name="_xlnm.Print_Area" localSheetId="0">'Доходы 2021 год'!$A$1:$F$69</definedName>
    <definedName name="_xlnm.Print_Area" localSheetId="3">'МП, ВЦП и НПР 2021 год (2)'!$A$1:$I$1055</definedName>
    <definedName name="_xlnm.Print_Area" localSheetId="2">'Расходы 2021'!$A$1:$I$823</definedName>
  </definedNames>
  <calcPr calcId="152511"/>
  <fileRecoveryPr autoRecover="0"/>
</workbook>
</file>

<file path=xl/calcChain.xml><?xml version="1.0" encoding="utf-8"?>
<calcChain xmlns="http://schemas.openxmlformats.org/spreadsheetml/2006/main">
  <c r="H93" i="21" l="1"/>
  <c r="G194" i="21"/>
  <c r="H194" i="21"/>
  <c r="H821" i="21"/>
  <c r="H465" i="21"/>
  <c r="H644" i="21"/>
  <c r="H450" i="21"/>
  <c r="H394" i="21"/>
  <c r="H388" i="21"/>
  <c r="H305" i="21"/>
  <c r="H384" i="21"/>
  <c r="H443" i="21"/>
  <c r="H440" i="21"/>
  <c r="H349" i="21"/>
  <c r="H336" i="21"/>
  <c r="H374" i="21"/>
  <c r="H367" i="21"/>
  <c r="H326" i="21"/>
  <c r="H676" i="21"/>
  <c r="H703" i="21"/>
  <c r="H692" i="21"/>
  <c r="H405" i="21"/>
  <c r="H240" i="21"/>
  <c r="H96" i="21"/>
  <c r="H24" i="20"/>
  <c r="I24" i="20"/>
  <c r="H21" i="20"/>
  <c r="H20" i="20" s="1"/>
  <c r="I21" i="20"/>
  <c r="I20" i="20" s="1"/>
  <c r="H15" i="20"/>
  <c r="H14" i="20" s="1"/>
  <c r="H13" i="20" s="1"/>
  <c r="H12" i="20" s="1"/>
  <c r="H11" i="20" s="1"/>
  <c r="I15" i="20"/>
  <c r="I14" i="20" s="1"/>
  <c r="I13" i="20" s="1"/>
  <c r="I12" i="20" s="1"/>
  <c r="I11" i="20" s="1"/>
  <c r="F13" i="35" l="1"/>
  <c r="F12" i="35" s="1"/>
  <c r="F11" i="35" s="1"/>
  <c r="F10" i="35" s="1"/>
  <c r="G13" i="35"/>
  <c r="G12" i="35" s="1"/>
  <c r="G11" i="35" s="1"/>
  <c r="G10" i="35" s="1"/>
  <c r="H14" i="35"/>
  <c r="I14" i="35" s="1"/>
  <c r="F18" i="35"/>
  <c r="F17" i="35" s="1"/>
  <c r="F16" i="35" s="1"/>
  <c r="F15" i="35" s="1"/>
  <c r="G18" i="35"/>
  <c r="G17" i="35" s="1"/>
  <c r="G16" i="35" s="1"/>
  <c r="G15" i="35" s="1"/>
  <c r="H18" i="35"/>
  <c r="H17" i="35" s="1"/>
  <c r="I19" i="35"/>
  <c r="F23" i="35"/>
  <c r="F22" i="35" s="1"/>
  <c r="F21" i="35" s="1"/>
  <c r="F20" i="35" s="1"/>
  <c r="G23" i="35"/>
  <c r="G22" i="35" s="1"/>
  <c r="G21" i="35" s="1"/>
  <c r="G20" i="35" s="1"/>
  <c r="H23" i="35"/>
  <c r="H22" i="35" s="1"/>
  <c r="I24" i="35"/>
  <c r="F28" i="35"/>
  <c r="F27" i="35" s="1"/>
  <c r="G28" i="35"/>
  <c r="G27" i="35" s="1"/>
  <c r="G26" i="35" s="1"/>
  <c r="G25" i="35" s="1"/>
  <c r="H28" i="35"/>
  <c r="H27" i="35" s="1"/>
  <c r="H26" i="35" s="1"/>
  <c r="H25" i="35" s="1"/>
  <c r="I29" i="35"/>
  <c r="H32" i="35"/>
  <c r="F33" i="35"/>
  <c r="F32" i="35" s="1"/>
  <c r="F31" i="35" s="1"/>
  <c r="F30" i="35" s="1"/>
  <c r="G33" i="35"/>
  <c r="G32" i="35" s="1"/>
  <c r="G31" i="35" s="1"/>
  <c r="G30" i="35" s="1"/>
  <c r="H33" i="35"/>
  <c r="I34" i="35"/>
  <c r="G38" i="35"/>
  <c r="G37" i="35" s="1"/>
  <c r="G36" i="35" s="1"/>
  <c r="G35" i="35" s="1"/>
  <c r="H38" i="35"/>
  <c r="H37" i="35" s="1"/>
  <c r="F39" i="35"/>
  <c r="F38" i="35" s="1"/>
  <c r="F37" i="35" s="1"/>
  <c r="F36" i="35" s="1"/>
  <c r="F35" i="35" s="1"/>
  <c r="I39" i="35"/>
  <c r="F43" i="35"/>
  <c r="F42" i="35" s="1"/>
  <c r="F41" i="35" s="1"/>
  <c r="F40" i="35" s="1"/>
  <c r="G43" i="35"/>
  <c r="G42" i="35" s="1"/>
  <c r="G41" i="35" s="1"/>
  <c r="G40" i="35" s="1"/>
  <c r="H43" i="35"/>
  <c r="H42" i="35" s="1"/>
  <c r="I44" i="35"/>
  <c r="F49" i="35"/>
  <c r="F48" i="35" s="1"/>
  <c r="F47" i="35" s="1"/>
  <c r="F46" i="35" s="1"/>
  <c r="G49" i="35"/>
  <c r="G48" i="35" s="1"/>
  <c r="G47" i="35" s="1"/>
  <c r="G46" i="35" s="1"/>
  <c r="H49" i="35"/>
  <c r="I50" i="35"/>
  <c r="F54" i="35"/>
  <c r="F53" i="35" s="1"/>
  <c r="F52" i="35" s="1"/>
  <c r="F51" i="35" s="1"/>
  <c r="G54" i="35"/>
  <c r="G53" i="35" s="1"/>
  <c r="G52" i="35" s="1"/>
  <c r="G51" i="35" s="1"/>
  <c r="H54" i="35"/>
  <c r="H53" i="35" s="1"/>
  <c r="I55" i="35"/>
  <c r="F60" i="35"/>
  <c r="G60" i="35"/>
  <c r="G59" i="35" s="1"/>
  <c r="G58" i="35" s="1"/>
  <c r="G57" i="35" s="1"/>
  <c r="G56" i="35" s="1"/>
  <c r="H60" i="35"/>
  <c r="H59" i="35" s="1"/>
  <c r="I61" i="35"/>
  <c r="F67" i="35"/>
  <c r="F66" i="35" s="1"/>
  <c r="F65" i="35" s="1"/>
  <c r="F64" i="35" s="1"/>
  <c r="G67" i="35"/>
  <c r="G66" i="35" s="1"/>
  <c r="G65" i="35" s="1"/>
  <c r="G64" i="35" s="1"/>
  <c r="H67" i="35"/>
  <c r="H66" i="35" s="1"/>
  <c r="H65" i="35" s="1"/>
  <c r="H64" i="35" s="1"/>
  <c r="I68" i="35"/>
  <c r="F72" i="35"/>
  <c r="F71" i="35" s="1"/>
  <c r="F70" i="35" s="1"/>
  <c r="F69" i="35" s="1"/>
  <c r="G72" i="35"/>
  <c r="H72" i="35"/>
  <c r="I73" i="35"/>
  <c r="F74" i="35"/>
  <c r="G74" i="35"/>
  <c r="H74" i="35"/>
  <c r="I75" i="35"/>
  <c r="G78" i="35"/>
  <c r="G77" i="35" s="1"/>
  <c r="G76" i="35" s="1"/>
  <c r="F80" i="35"/>
  <c r="F79" i="35" s="1"/>
  <c r="F78" i="35" s="1"/>
  <c r="F77" i="35" s="1"/>
  <c r="F76" i="35" s="1"/>
  <c r="G80" i="35"/>
  <c r="G79" i="35" s="1"/>
  <c r="H80" i="35"/>
  <c r="H79" i="35" s="1"/>
  <c r="F81" i="35"/>
  <c r="I81" i="35"/>
  <c r="G86" i="35"/>
  <c r="G85" i="35" s="1"/>
  <c r="G84" i="35" s="1"/>
  <c r="G83" i="35" s="1"/>
  <c r="H86" i="35"/>
  <c r="H85" i="35" s="1"/>
  <c r="F87" i="35"/>
  <c r="F86" i="35" s="1"/>
  <c r="F85" i="35" s="1"/>
  <c r="F84" i="35" s="1"/>
  <c r="F83" i="35" s="1"/>
  <c r="G91" i="35"/>
  <c r="G90" i="35" s="1"/>
  <c r="G89" i="35" s="1"/>
  <c r="G88" i="35" s="1"/>
  <c r="F92" i="35"/>
  <c r="F91" i="35" s="1"/>
  <c r="F90" i="35" s="1"/>
  <c r="F89" i="35" s="1"/>
  <c r="F88" i="35" s="1"/>
  <c r="H92" i="35"/>
  <c r="F96" i="35"/>
  <c r="F95" i="35" s="1"/>
  <c r="F94" i="35" s="1"/>
  <c r="F93" i="35" s="1"/>
  <c r="G96" i="35"/>
  <c r="G95" i="35" s="1"/>
  <c r="G94" i="35" s="1"/>
  <c r="G93" i="35" s="1"/>
  <c r="H96" i="35"/>
  <c r="H95" i="35" s="1"/>
  <c r="H97" i="35"/>
  <c r="I97" i="35"/>
  <c r="F101" i="35"/>
  <c r="F100" i="35" s="1"/>
  <c r="G101" i="35"/>
  <c r="G100" i="35" s="1"/>
  <c r="G99" i="35" s="1"/>
  <c r="G98" i="35" s="1"/>
  <c r="H101" i="35"/>
  <c r="H100" i="35" s="1"/>
  <c r="H99" i="35" s="1"/>
  <c r="H98" i="35" s="1"/>
  <c r="I102" i="35"/>
  <c r="F106" i="35"/>
  <c r="F105" i="35" s="1"/>
  <c r="F104" i="35" s="1"/>
  <c r="F103" i="35" s="1"/>
  <c r="G106" i="35"/>
  <c r="G105" i="35" s="1"/>
  <c r="G104" i="35" s="1"/>
  <c r="G103" i="35" s="1"/>
  <c r="H106" i="35"/>
  <c r="I107" i="35"/>
  <c r="F111" i="35"/>
  <c r="F110" i="35" s="1"/>
  <c r="F109" i="35" s="1"/>
  <c r="F108" i="35" s="1"/>
  <c r="G111" i="35"/>
  <c r="G110" i="35" s="1"/>
  <c r="G109" i="35" s="1"/>
  <c r="G108" i="35" s="1"/>
  <c r="H111" i="35"/>
  <c r="I112" i="35"/>
  <c r="F116" i="35"/>
  <c r="F115" i="35" s="1"/>
  <c r="F114" i="35" s="1"/>
  <c r="F113" i="35" s="1"/>
  <c r="G116" i="35"/>
  <c r="G115" i="35" s="1"/>
  <c r="G114" i="35" s="1"/>
  <c r="G113" i="35" s="1"/>
  <c r="H116" i="35"/>
  <c r="H115" i="35" s="1"/>
  <c r="I117" i="35"/>
  <c r="F121" i="35"/>
  <c r="G121" i="35"/>
  <c r="G120" i="35" s="1"/>
  <c r="G119" i="35" s="1"/>
  <c r="G118" i="35" s="1"/>
  <c r="H121" i="35"/>
  <c r="H120" i="35" s="1"/>
  <c r="H119" i="35" s="1"/>
  <c r="H118" i="35" s="1"/>
  <c r="I122" i="35"/>
  <c r="F126" i="35"/>
  <c r="G126" i="35"/>
  <c r="G125" i="35" s="1"/>
  <c r="G124" i="35" s="1"/>
  <c r="G123" i="35" s="1"/>
  <c r="H126" i="35"/>
  <c r="H125" i="35" s="1"/>
  <c r="H124" i="35" s="1"/>
  <c r="F127" i="35"/>
  <c r="I127" i="35" s="1"/>
  <c r="F133" i="35"/>
  <c r="G133" i="35"/>
  <c r="H133" i="35"/>
  <c r="I134" i="35"/>
  <c r="F135" i="35"/>
  <c r="G135" i="35"/>
  <c r="H135" i="35"/>
  <c r="I136" i="35"/>
  <c r="F137" i="35"/>
  <c r="G137" i="35"/>
  <c r="H137" i="35"/>
  <c r="I138" i="35"/>
  <c r="F142" i="35"/>
  <c r="F141" i="35" s="1"/>
  <c r="F140" i="35" s="1"/>
  <c r="F139" i="35" s="1"/>
  <c r="G142" i="35"/>
  <c r="G141" i="35" s="1"/>
  <c r="G140" i="35" s="1"/>
  <c r="G139" i="35" s="1"/>
  <c r="H142" i="35"/>
  <c r="H141" i="35" s="1"/>
  <c r="H140" i="35" s="1"/>
  <c r="H139" i="35" s="1"/>
  <c r="I143" i="35"/>
  <c r="F148" i="35"/>
  <c r="F147" i="35" s="1"/>
  <c r="F146" i="35" s="1"/>
  <c r="F145" i="35" s="1"/>
  <c r="G148" i="35"/>
  <c r="G147" i="35" s="1"/>
  <c r="G146" i="35" s="1"/>
  <c r="G145" i="35" s="1"/>
  <c r="H148" i="35"/>
  <c r="H147" i="35" s="1"/>
  <c r="H149" i="35"/>
  <c r="I149" i="35" s="1"/>
  <c r="F153" i="35"/>
  <c r="F152" i="35" s="1"/>
  <c r="F151" i="35" s="1"/>
  <c r="F150" i="35" s="1"/>
  <c r="G153" i="35"/>
  <c r="G152" i="35" s="1"/>
  <c r="G151" i="35" s="1"/>
  <c r="G150" i="35" s="1"/>
  <c r="H153" i="35"/>
  <c r="H152" i="35" s="1"/>
  <c r="F154" i="35"/>
  <c r="I154" i="35" s="1"/>
  <c r="H154" i="35"/>
  <c r="F158" i="35"/>
  <c r="F157" i="35" s="1"/>
  <c r="F156" i="35" s="1"/>
  <c r="F155" i="35" s="1"/>
  <c r="G158" i="35"/>
  <c r="G157" i="35" s="1"/>
  <c r="G156" i="35" s="1"/>
  <c r="G155" i="35" s="1"/>
  <c r="H158" i="35"/>
  <c r="I159" i="35"/>
  <c r="F163" i="35"/>
  <c r="F162" i="35" s="1"/>
  <c r="F161" i="35" s="1"/>
  <c r="F160" i="35" s="1"/>
  <c r="G163" i="35"/>
  <c r="G162" i="35" s="1"/>
  <c r="G161" i="35" s="1"/>
  <c r="G160" i="35" s="1"/>
  <c r="H163" i="35"/>
  <c r="H162" i="35" s="1"/>
  <c r="I164" i="35"/>
  <c r="G168" i="35"/>
  <c r="G167" i="35" s="1"/>
  <c r="G166" i="35" s="1"/>
  <c r="G165" i="35" s="1"/>
  <c r="H168" i="35"/>
  <c r="F169" i="35"/>
  <c r="F168" i="35" s="1"/>
  <c r="F167" i="35" s="1"/>
  <c r="F166" i="35" s="1"/>
  <c r="F165" i="35" s="1"/>
  <c r="I169" i="35"/>
  <c r="F173" i="35"/>
  <c r="G173" i="35"/>
  <c r="G172" i="35" s="1"/>
  <c r="G171" i="35" s="1"/>
  <c r="G170" i="35" s="1"/>
  <c r="H173" i="35"/>
  <c r="H172" i="35" s="1"/>
  <c r="I174" i="35"/>
  <c r="F178" i="35"/>
  <c r="F177" i="35" s="1"/>
  <c r="F176" i="35" s="1"/>
  <c r="F175" i="35" s="1"/>
  <c r="G178" i="35"/>
  <c r="G177" i="35" s="1"/>
  <c r="G176" i="35" s="1"/>
  <c r="G175" i="35" s="1"/>
  <c r="H178" i="35"/>
  <c r="H177" i="35" s="1"/>
  <c r="I179" i="35"/>
  <c r="G183" i="35"/>
  <c r="G182" i="35" s="1"/>
  <c r="G181" i="35" s="1"/>
  <c r="G180" i="35" s="1"/>
  <c r="H183" i="35"/>
  <c r="F184" i="35"/>
  <c r="F183" i="35" s="1"/>
  <c r="F182" i="35" s="1"/>
  <c r="F181" i="35" s="1"/>
  <c r="F180" i="35" s="1"/>
  <c r="I184" i="35"/>
  <c r="F188" i="35"/>
  <c r="F187" i="35" s="1"/>
  <c r="G188" i="35"/>
  <c r="G187" i="35" s="1"/>
  <c r="G186" i="35" s="1"/>
  <c r="G185" i="35" s="1"/>
  <c r="H188" i="35"/>
  <c r="H187" i="35" s="1"/>
  <c r="I189" i="35"/>
  <c r="F190" i="35"/>
  <c r="G190" i="35"/>
  <c r="H190" i="35"/>
  <c r="I191" i="35"/>
  <c r="F192" i="35"/>
  <c r="G192" i="35"/>
  <c r="H192" i="35"/>
  <c r="I193" i="35"/>
  <c r="F197" i="35"/>
  <c r="F196" i="35" s="1"/>
  <c r="F195" i="35" s="1"/>
  <c r="F194" i="35" s="1"/>
  <c r="G197" i="35"/>
  <c r="G196" i="35" s="1"/>
  <c r="G195" i="35" s="1"/>
  <c r="G194" i="35" s="1"/>
  <c r="H197" i="35"/>
  <c r="I198" i="35"/>
  <c r="G200" i="35"/>
  <c r="G199" i="35" s="1"/>
  <c r="F202" i="35"/>
  <c r="G202" i="35"/>
  <c r="G201" i="35" s="1"/>
  <c r="H202" i="35"/>
  <c r="H201" i="35" s="1"/>
  <c r="I203" i="35"/>
  <c r="G209" i="35"/>
  <c r="G208" i="35" s="1"/>
  <c r="G207" i="35" s="1"/>
  <c r="H209" i="35"/>
  <c r="H208" i="35" s="1"/>
  <c r="F210" i="35"/>
  <c r="F209" i="35" s="1"/>
  <c r="F208" i="35" s="1"/>
  <c r="F207" i="35" s="1"/>
  <c r="I210" i="35"/>
  <c r="F214" i="35"/>
  <c r="G214" i="35"/>
  <c r="H214" i="35"/>
  <c r="I215" i="35"/>
  <c r="G216" i="35"/>
  <c r="H216" i="35"/>
  <c r="F217" i="35"/>
  <c r="F216" i="35" s="1"/>
  <c r="I217" i="35"/>
  <c r="F221" i="35"/>
  <c r="G221" i="35"/>
  <c r="G220" i="35" s="1"/>
  <c r="G219" i="35" s="1"/>
  <c r="G218" i="35" s="1"/>
  <c r="H221" i="35"/>
  <c r="H220" i="35" s="1"/>
  <c r="I222" i="35"/>
  <c r="F226" i="35"/>
  <c r="F225" i="35" s="1"/>
  <c r="F224" i="35" s="1"/>
  <c r="F223" i="35" s="1"/>
  <c r="G226" i="35"/>
  <c r="G225" i="35" s="1"/>
  <c r="G224" i="35" s="1"/>
  <c r="G223" i="35" s="1"/>
  <c r="H226" i="35"/>
  <c r="H225" i="35" s="1"/>
  <c r="I227" i="35"/>
  <c r="F232" i="35"/>
  <c r="F231" i="35" s="1"/>
  <c r="F230" i="35" s="1"/>
  <c r="F229" i="35" s="1"/>
  <c r="G232" i="35"/>
  <c r="G231" i="35" s="1"/>
  <c r="G230" i="35" s="1"/>
  <c r="G229" i="35" s="1"/>
  <c r="H232" i="35"/>
  <c r="H233" i="35"/>
  <c r="I233" i="35"/>
  <c r="F237" i="35"/>
  <c r="F236" i="35" s="1"/>
  <c r="F235" i="35" s="1"/>
  <c r="F234" i="35" s="1"/>
  <c r="G237" i="35"/>
  <c r="G236" i="35" s="1"/>
  <c r="G235" i="35" s="1"/>
  <c r="G234" i="35" s="1"/>
  <c r="H238" i="35"/>
  <c r="H241" i="35"/>
  <c r="F242" i="35"/>
  <c r="F241" i="35" s="1"/>
  <c r="F240" i="35" s="1"/>
  <c r="F239" i="35" s="1"/>
  <c r="G242" i="35"/>
  <c r="G241" i="35" s="1"/>
  <c r="G240" i="35" s="1"/>
  <c r="G239" i="35" s="1"/>
  <c r="H242" i="35"/>
  <c r="I242" i="35" s="1"/>
  <c r="I243" i="35"/>
  <c r="F247" i="35"/>
  <c r="F246" i="35" s="1"/>
  <c r="F245" i="35" s="1"/>
  <c r="F244" i="35" s="1"/>
  <c r="G247" i="35"/>
  <c r="G246" i="35" s="1"/>
  <c r="G245" i="35" s="1"/>
  <c r="G244" i="35" s="1"/>
  <c r="H248" i="35"/>
  <c r="H247" i="35" s="1"/>
  <c r="I248" i="35"/>
  <c r="F252" i="35"/>
  <c r="F251" i="35" s="1"/>
  <c r="F250" i="35" s="1"/>
  <c r="F249" i="35" s="1"/>
  <c r="G252" i="35"/>
  <c r="G251" i="35" s="1"/>
  <c r="G250" i="35" s="1"/>
  <c r="G249" i="35" s="1"/>
  <c r="H252" i="35"/>
  <c r="H251" i="35" s="1"/>
  <c r="H250" i="35" s="1"/>
  <c r="H249" i="35" s="1"/>
  <c r="I249" i="35" s="1"/>
  <c r="H253" i="35"/>
  <c r="I253" i="35"/>
  <c r="F257" i="35"/>
  <c r="F256" i="35" s="1"/>
  <c r="F255" i="35" s="1"/>
  <c r="F254" i="35" s="1"/>
  <c r="G257" i="35"/>
  <c r="G256" i="35" s="1"/>
  <c r="G255" i="35" s="1"/>
  <c r="G254" i="35" s="1"/>
  <c r="H258" i="35"/>
  <c r="H257" i="35" s="1"/>
  <c r="I258" i="35"/>
  <c r="F262" i="35"/>
  <c r="F261" i="35" s="1"/>
  <c r="F260" i="35" s="1"/>
  <c r="F259" i="35" s="1"/>
  <c r="G262" i="35"/>
  <c r="G261" i="35" s="1"/>
  <c r="G260" i="35" s="1"/>
  <c r="G259" i="35" s="1"/>
  <c r="H262" i="35"/>
  <c r="H261" i="35" s="1"/>
  <c r="H260" i="35" s="1"/>
  <c r="H259" i="35" s="1"/>
  <c r="I259" i="35" s="1"/>
  <c r="H263" i="35"/>
  <c r="I263" i="35"/>
  <c r="F267" i="35"/>
  <c r="F266" i="35" s="1"/>
  <c r="F265" i="35" s="1"/>
  <c r="F264" i="35" s="1"/>
  <c r="G267" i="35"/>
  <c r="G266" i="35" s="1"/>
  <c r="G265" i="35" s="1"/>
  <c r="G264" i="35" s="1"/>
  <c r="H268" i="35"/>
  <c r="H267" i="35" s="1"/>
  <c r="I268" i="35"/>
  <c r="F272" i="35"/>
  <c r="F271" i="35" s="1"/>
  <c r="F270" i="35" s="1"/>
  <c r="F269" i="35" s="1"/>
  <c r="G272" i="35"/>
  <c r="G271" i="35" s="1"/>
  <c r="G270" i="35" s="1"/>
  <c r="G269" i="35" s="1"/>
  <c r="H272" i="35"/>
  <c r="H271" i="35" s="1"/>
  <c r="H270" i="35" s="1"/>
  <c r="H269" i="35" s="1"/>
  <c r="H273" i="35"/>
  <c r="I273" i="35"/>
  <c r="F279" i="35"/>
  <c r="F278" i="35" s="1"/>
  <c r="F277" i="35" s="1"/>
  <c r="F276" i="35" s="1"/>
  <c r="F275" i="35" s="1"/>
  <c r="F274" i="35" s="1"/>
  <c r="G279" i="35"/>
  <c r="G278" i="35" s="1"/>
  <c r="G277" i="35" s="1"/>
  <c r="G276" i="35" s="1"/>
  <c r="G275" i="35" s="1"/>
  <c r="G274" i="35" s="1"/>
  <c r="H279" i="35"/>
  <c r="H278" i="35" s="1"/>
  <c r="I280" i="35"/>
  <c r="F286" i="35"/>
  <c r="F285" i="35" s="1"/>
  <c r="F284" i="35" s="1"/>
  <c r="F283" i="35" s="1"/>
  <c r="G286" i="35"/>
  <c r="G285" i="35" s="1"/>
  <c r="G284" i="35" s="1"/>
  <c r="G283" i="35" s="1"/>
  <c r="H286" i="35"/>
  <c r="H285" i="35" s="1"/>
  <c r="I287" i="35"/>
  <c r="I288" i="35"/>
  <c r="G292" i="35"/>
  <c r="G291" i="35" s="1"/>
  <c r="G290" i="35" s="1"/>
  <c r="G289" i="35" s="1"/>
  <c r="H292" i="35"/>
  <c r="I292" i="35" s="1"/>
  <c r="F293" i="35"/>
  <c r="F292" i="35" s="1"/>
  <c r="F291" i="35" s="1"/>
  <c r="F290" i="35" s="1"/>
  <c r="F289" i="35" s="1"/>
  <c r="H293" i="35"/>
  <c r="I293" i="35"/>
  <c r="F294" i="35"/>
  <c r="H294" i="35"/>
  <c r="I294" i="35" s="1"/>
  <c r="G298" i="35"/>
  <c r="G297" i="35" s="1"/>
  <c r="G296" i="35" s="1"/>
  <c r="G295" i="35" s="1"/>
  <c r="F299" i="35"/>
  <c r="F298" i="35" s="1"/>
  <c r="F297" i="35" s="1"/>
  <c r="F296" i="35" s="1"/>
  <c r="F295" i="35" s="1"/>
  <c r="H299" i="35"/>
  <c r="F300" i="35"/>
  <c r="H300" i="35"/>
  <c r="I300" i="35" s="1"/>
  <c r="F304" i="35"/>
  <c r="F303" i="35" s="1"/>
  <c r="F302" i="35" s="1"/>
  <c r="F301" i="35" s="1"/>
  <c r="G304" i="35"/>
  <c r="G303" i="35" s="1"/>
  <c r="G302" i="35" s="1"/>
  <c r="G301" i="35" s="1"/>
  <c r="H304" i="35"/>
  <c r="I305" i="35"/>
  <c r="I306" i="35"/>
  <c r="F310" i="35"/>
  <c r="G310" i="35"/>
  <c r="G309" i="35" s="1"/>
  <c r="G308" i="35" s="1"/>
  <c r="G307" i="35" s="1"/>
  <c r="H310" i="35"/>
  <c r="H309" i="35" s="1"/>
  <c r="I311" i="35"/>
  <c r="I312" i="35"/>
  <c r="F316" i="35"/>
  <c r="F315" i="35" s="1"/>
  <c r="F314" i="35" s="1"/>
  <c r="G316" i="35"/>
  <c r="G315" i="35" s="1"/>
  <c r="G314" i="35" s="1"/>
  <c r="H316" i="35"/>
  <c r="I317" i="35"/>
  <c r="F322" i="35"/>
  <c r="F321" i="35" s="1"/>
  <c r="F320" i="35" s="1"/>
  <c r="F319" i="35" s="1"/>
  <c r="G322" i="35"/>
  <c r="G321" i="35" s="1"/>
  <c r="G320" i="35" s="1"/>
  <c r="G319" i="35" s="1"/>
  <c r="H322" i="35"/>
  <c r="H321" i="35" s="1"/>
  <c r="I323" i="35"/>
  <c r="I324" i="35"/>
  <c r="F328" i="35"/>
  <c r="F327" i="35" s="1"/>
  <c r="F326" i="35" s="1"/>
  <c r="F325" i="35" s="1"/>
  <c r="G328" i="35"/>
  <c r="G327" i="35" s="1"/>
  <c r="G326" i="35" s="1"/>
  <c r="G325" i="35" s="1"/>
  <c r="H328" i="35"/>
  <c r="H327" i="35" s="1"/>
  <c r="H326" i="35" s="1"/>
  <c r="H325" i="35" s="1"/>
  <c r="I329" i="35"/>
  <c r="I330" i="35"/>
  <c r="G334" i="35"/>
  <c r="G333" i="35" s="1"/>
  <c r="G332" i="35" s="1"/>
  <c r="G331" i="35" s="1"/>
  <c r="F335" i="35"/>
  <c r="F334" i="35" s="1"/>
  <c r="F333" i="35" s="1"/>
  <c r="F332" i="35" s="1"/>
  <c r="F331" i="35" s="1"/>
  <c r="H335" i="35"/>
  <c r="I336" i="35"/>
  <c r="F340" i="35"/>
  <c r="F339" i="35" s="1"/>
  <c r="F338" i="35" s="1"/>
  <c r="F337" i="35" s="1"/>
  <c r="G340" i="35"/>
  <c r="G339" i="35" s="1"/>
  <c r="G338" i="35" s="1"/>
  <c r="G337" i="35" s="1"/>
  <c r="H340" i="35"/>
  <c r="H339" i="35" s="1"/>
  <c r="I341" i="35"/>
  <c r="I342" i="35"/>
  <c r="F348" i="35"/>
  <c r="G348" i="35"/>
  <c r="H348" i="35"/>
  <c r="I349" i="35"/>
  <c r="F350" i="35"/>
  <c r="G350" i="35"/>
  <c r="H350" i="35"/>
  <c r="I351" i="35"/>
  <c r="F352" i="35"/>
  <c r="G352" i="35"/>
  <c r="H352" i="35"/>
  <c r="I353" i="35"/>
  <c r="F357" i="35"/>
  <c r="G357" i="35"/>
  <c r="H357" i="35"/>
  <c r="I358" i="35"/>
  <c r="F359" i="35"/>
  <c r="G359" i="35"/>
  <c r="H359" i="35"/>
  <c r="I360" i="35"/>
  <c r="F364" i="35"/>
  <c r="G364" i="35"/>
  <c r="H364" i="35"/>
  <c r="H363" i="35" s="1"/>
  <c r="I365" i="35"/>
  <c r="G366" i="35"/>
  <c r="H366" i="35"/>
  <c r="F367" i="35"/>
  <c r="F366" i="35" s="1"/>
  <c r="I367" i="35"/>
  <c r="F368" i="35"/>
  <c r="G368" i="35"/>
  <c r="H368" i="35"/>
  <c r="I369" i="35"/>
  <c r="F374" i="35"/>
  <c r="F373" i="35" s="1"/>
  <c r="F372" i="35" s="1"/>
  <c r="F371" i="35" s="1"/>
  <c r="G374" i="35"/>
  <c r="G373" i="35" s="1"/>
  <c r="G372" i="35" s="1"/>
  <c r="G371" i="35" s="1"/>
  <c r="H374" i="35"/>
  <c r="I374" i="35" s="1"/>
  <c r="I375" i="35"/>
  <c r="F379" i="35"/>
  <c r="F378" i="35" s="1"/>
  <c r="F377" i="35" s="1"/>
  <c r="F376" i="35" s="1"/>
  <c r="G379" i="35"/>
  <c r="G378" i="35" s="1"/>
  <c r="G377" i="35" s="1"/>
  <c r="G376" i="35" s="1"/>
  <c r="H379" i="35"/>
  <c r="H378" i="35" s="1"/>
  <c r="I380" i="35"/>
  <c r="I381" i="35"/>
  <c r="G385" i="35"/>
  <c r="G384" i="35" s="1"/>
  <c r="G383" i="35" s="1"/>
  <c r="G382" i="35" s="1"/>
  <c r="H385" i="35"/>
  <c r="H384" i="35" s="1"/>
  <c r="F386" i="35"/>
  <c r="F385" i="35" s="1"/>
  <c r="F384" i="35" s="1"/>
  <c r="F383" i="35" s="1"/>
  <c r="F382" i="35" s="1"/>
  <c r="H386" i="35"/>
  <c r="I387" i="35"/>
  <c r="G391" i="35"/>
  <c r="G390" i="35" s="1"/>
  <c r="G389" i="35" s="1"/>
  <c r="G388" i="35" s="1"/>
  <c r="H391" i="35"/>
  <c r="H390" i="35" s="1"/>
  <c r="H389" i="35" s="1"/>
  <c r="H388" i="35" s="1"/>
  <c r="I388" i="35" s="1"/>
  <c r="F392" i="35"/>
  <c r="F391" i="35" s="1"/>
  <c r="F390" i="35" s="1"/>
  <c r="F389" i="35" s="1"/>
  <c r="F388" i="35" s="1"/>
  <c r="G399" i="35"/>
  <c r="G398" i="35" s="1"/>
  <c r="G397" i="35" s="1"/>
  <c r="G396" i="35" s="1"/>
  <c r="H399" i="35"/>
  <c r="H398" i="35" s="1"/>
  <c r="F400" i="35"/>
  <c r="F399" i="35" s="1"/>
  <c r="F398" i="35" s="1"/>
  <c r="F397" i="35" s="1"/>
  <c r="F396" i="35" s="1"/>
  <c r="I400" i="35"/>
  <c r="G404" i="35"/>
  <c r="H404" i="35"/>
  <c r="F405" i="35"/>
  <c r="F404" i="35" s="1"/>
  <c r="F406" i="35"/>
  <c r="G406" i="35"/>
  <c r="H406" i="35"/>
  <c r="I407" i="35"/>
  <c r="F413" i="35"/>
  <c r="G413" i="35"/>
  <c r="G412" i="35" s="1"/>
  <c r="G411" i="35" s="1"/>
  <c r="G410" i="35" s="1"/>
  <c r="H413" i="35"/>
  <c r="H412" i="35" s="1"/>
  <c r="I414" i="35"/>
  <c r="F418" i="35"/>
  <c r="F417" i="35" s="1"/>
  <c r="F416" i="35" s="1"/>
  <c r="F415" i="35" s="1"/>
  <c r="G418" i="35"/>
  <c r="G417" i="35" s="1"/>
  <c r="G416" i="35" s="1"/>
  <c r="G415" i="35" s="1"/>
  <c r="H418" i="35"/>
  <c r="I419" i="35"/>
  <c r="F423" i="35"/>
  <c r="G423" i="35"/>
  <c r="H423" i="35"/>
  <c r="H424" i="35"/>
  <c r="I424" i="35"/>
  <c r="F425" i="35"/>
  <c r="G425" i="35"/>
  <c r="H425" i="35"/>
  <c r="H422" i="35" s="1"/>
  <c r="I426" i="35"/>
  <c r="F430" i="35"/>
  <c r="F429" i="35" s="1"/>
  <c r="F428" i="35" s="1"/>
  <c r="F427" i="35" s="1"/>
  <c r="G430" i="35"/>
  <c r="G429" i="35" s="1"/>
  <c r="G428" i="35" s="1"/>
  <c r="G427" i="35" s="1"/>
  <c r="H430" i="35"/>
  <c r="I431" i="35"/>
  <c r="H434" i="35"/>
  <c r="F435" i="35"/>
  <c r="F434" i="35" s="1"/>
  <c r="F433" i="35" s="1"/>
  <c r="F432" i="35" s="1"/>
  <c r="G435" i="35"/>
  <c r="G434" i="35" s="1"/>
  <c r="G433" i="35" s="1"/>
  <c r="G432" i="35" s="1"/>
  <c r="H435" i="35"/>
  <c r="H436" i="35"/>
  <c r="I436" i="35"/>
  <c r="F439" i="35"/>
  <c r="F438" i="35" s="1"/>
  <c r="F437" i="35" s="1"/>
  <c r="F440" i="35"/>
  <c r="G440" i="35"/>
  <c r="G439" i="35" s="1"/>
  <c r="G438" i="35" s="1"/>
  <c r="G437" i="35" s="1"/>
  <c r="H440" i="35"/>
  <c r="H439" i="35" s="1"/>
  <c r="I441" i="35"/>
  <c r="F445" i="35"/>
  <c r="F444" i="35" s="1"/>
  <c r="F443" i="35" s="1"/>
  <c r="F442" i="35" s="1"/>
  <c r="G445" i="35"/>
  <c r="G444" i="35" s="1"/>
  <c r="G443" i="35" s="1"/>
  <c r="G442" i="35" s="1"/>
  <c r="H446" i="35"/>
  <c r="I446" i="35" s="1"/>
  <c r="F451" i="35"/>
  <c r="F450" i="35" s="1"/>
  <c r="F449" i="35" s="1"/>
  <c r="F448" i="35" s="1"/>
  <c r="G451" i="35"/>
  <c r="G450" i="35" s="1"/>
  <c r="G449" i="35" s="1"/>
  <c r="G448" i="35" s="1"/>
  <c r="H451" i="35"/>
  <c r="H450" i="35" s="1"/>
  <c r="I452" i="35"/>
  <c r="F456" i="35"/>
  <c r="F455" i="35" s="1"/>
  <c r="F454" i="35" s="1"/>
  <c r="F453" i="35" s="1"/>
  <c r="G456" i="35"/>
  <c r="G455" i="35" s="1"/>
  <c r="G454" i="35" s="1"/>
  <c r="G453" i="35" s="1"/>
  <c r="H457" i="35"/>
  <c r="F461" i="35"/>
  <c r="F460" i="35" s="1"/>
  <c r="F459" i="35" s="1"/>
  <c r="F458" i="35" s="1"/>
  <c r="G461" i="35"/>
  <c r="G460" i="35" s="1"/>
  <c r="G459" i="35" s="1"/>
  <c r="G458" i="35" s="1"/>
  <c r="H461" i="35"/>
  <c r="H460" i="35" s="1"/>
  <c r="I462" i="35"/>
  <c r="G466" i="35"/>
  <c r="G465" i="35" s="1"/>
  <c r="G464" i="35" s="1"/>
  <c r="G468" i="35"/>
  <c r="G467" i="35" s="1"/>
  <c r="H468" i="35"/>
  <c r="H467" i="35" s="1"/>
  <c r="F469" i="35"/>
  <c r="F468" i="35" s="1"/>
  <c r="F467" i="35" s="1"/>
  <c r="F466" i="35" s="1"/>
  <c r="F465" i="35" s="1"/>
  <c r="F464" i="35" s="1"/>
  <c r="I469" i="35"/>
  <c r="F474" i="35"/>
  <c r="F473" i="35" s="1"/>
  <c r="F472" i="35" s="1"/>
  <c r="F471" i="35" s="1"/>
  <c r="F470" i="35" s="1"/>
  <c r="G474" i="35"/>
  <c r="G473" i="35" s="1"/>
  <c r="G472" i="35" s="1"/>
  <c r="G471" i="35" s="1"/>
  <c r="G470" i="35" s="1"/>
  <c r="H475" i="35"/>
  <c r="I475" i="35" s="1"/>
  <c r="F480" i="35"/>
  <c r="F479" i="35" s="1"/>
  <c r="F478" i="35" s="1"/>
  <c r="F477" i="35" s="1"/>
  <c r="F476" i="35" s="1"/>
  <c r="G480" i="35"/>
  <c r="G479" i="35" s="1"/>
  <c r="G478" i="35" s="1"/>
  <c r="G477" i="35" s="1"/>
  <c r="G476" i="35" s="1"/>
  <c r="H480" i="35"/>
  <c r="H479" i="35" s="1"/>
  <c r="I481" i="35"/>
  <c r="G485" i="35"/>
  <c r="G484" i="35" s="1"/>
  <c r="G483" i="35" s="1"/>
  <c r="G482" i="35" s="1"/>
  <c r="H485" i="35"/>
  <c r="H484" i="35" s="1"/>
  <c r="F486" i="35"/>
  <c r="G493" i="35"/>
  <c r="G492" i="35" s="1"/>
  <c r="G491" i="35" s="1"/>
  <c r="G490" i="35" s="1"/>
  <c r="H493" i="35"/>
  <c r="F494" i="35"/>
  <c r="F493" i="35" s="1"/>
  <c r="F492" i="35" s="1"/>
  <c r="F491" i="35" s="1"/>
  <c r="F490" i="35" s="1"/>
  <c r="G498" i="35"/>
  <c r="H498" i="35"/>
  <c r="F499" i="35"/>
  <c r="G500" i="35"/>
  <c r="H500" i="35"/>
  <c r="F501" i="35"/>
  <c r="F500" i="35" s="1"/>
  <c r="I501" i="35"/>
  <c r="F505" i="35"/>
  <c r="F504" i="35" s="1"/>
  <c r="F507" i="35"/>
  <c r="F506" i="35" s="1"/>
  <c r="G507" i="35"/>
  <c r="G506" i="35" s="1"/>
  <c r="G505" i="35" s="1"/>
  <c r="G504" i="35" s="1"/>
  <c r="H508" i="35"/>
  <c r="F512" i="35"/>
  <c r="F511" i="35" s="1"/>
  <c r="F510" i="35" s="1"/>
  <c r="F509" i="35" s="1"/>
  <c r="G512" i="35"/>
  <c r="G511" i="35" s="1"/>
  <c r="G510" i="35" s="1"/>
  <c r="G509" i="35" s="1"/>
  <c r="H512" i="35"/>
  <c r="H513" i="35"/>
  <c r="I513" i="35"/>
  <c r="F518" i="35"/>
  <c r="F517" i="35" s="1"/>
  <c r="F516" i="35" s="1"/>
  <c r="F515" i="35" s="1"/>
  <c r="F514" i="35" s="1"/>
  <c r="G518" i="35"/>
  <c r="G517" i="35" s="1"/>
  <c r="G516" i="35" s="1"/>
  <c r="G515" i="35" s="1"/>
  <c r="G514" i="35" s="1"/>
  <c r="H518" i="35"/>
  <c r="H517" i="35" s="1"/>
  <c r="I519" i="35"/>
  <c r="F524" i="35"/>
  <c r="G524" i="35"/>
  <c r="H524" i="35"/>
  <c r="I525" i="35"/>
  <c r="F526" i="35"/>
  <c r="G526" i="35"/>
  <c r="H526" i="35"/>
  <c r="H527" i="35"/>
  <c r="I527" i="35" s="1"/>
  <c r="F531" i="35"/>
  <c r="F530" i="35" s="1"/>
  <c r="F529" i="35" s="1"/>
  <c r="F528" i="35" s="1"/>
  <c r="G531" i="35"/>
  <c r="G530" i="35" s="1"/>
  <c r="G529" i="35" s="1"/>
  <c r="G528" i="35" s="1"/>
  <c r="H531" i="35"/>
  <c r="H530" i="35" s="1"/>
  <c r="I532" i="35"/>
  <c r="F537" i="35"/>
  <c r="F536" i="35" s="1"/>
  <c r="F535" i="35" s="1"/>
  <c r="F534" i="35" s="1"/>
  <c r="F533" i="35" s="1"/>
  <c r="G537" i="35"/>
  <c r="G536" i="35" s="1"/>
  <c r="G535" i="35" s="1"/>
  <c r="G534" i="35" s="1"/>
  <c r="G533" i="35" s="1"/>
  <c r="H538" i="35"/>
  <c r="F539" i="35"/>
  <c r="G539" i="35"/>
  <c r="H539" i="35"/>
  <c r="I539" i="35" s="1"/>
  <c r="H540" i="35"/>
  <c r="I540" i="35" s="1"/>
  <c r="F545" i="35"/>
  <c r="F544" i="35" s="1"/>
  <c r="F543" i="35" s="1"/>
  <c r="F542" i="35" s="1"/>
  <c r="G545" i="35"/>
  <c r="G544" i="35" s="1"/>
  <c r="G543" i="35" s="1"/>
  <c r="G542" i="35" s="1"/>
  <c r="H545" i="35"/>
  <c r="H544" i="35" s="1"/>
  <c r="I546" i="35"/>
  <c r="F550" i="35"/>
  <c r="F549" i="35" s="1"/>
  <c r="F548" i="35" s="1"/>
  <c r="F547" i="35" s="1"/>
  <c r="G550" i="35"/>
  <c r="G549" i="35" s="1"/>
  <c r="G548" i="35" s="1"/>
  <c r="G547" i="35" s="1"/>
  <c r="H550" i="35"/>
  <c r="H549" i="35" s="1"/>
  <c r="H548" i="35" s="1"/>
  <c r="H547" i="35" s="1"/>
  <c r="I547" i="35" s="1"/>
  <c r="I551" i="35"/>
  <c r="F555" i="35"/>
  <c r="F554" i="35" s="1"/>
  <c r="F553" i="35" s="1"/>
  <c r="F552" i="35" s="1"/>
  <c r="G555" i="35"/>
  <c r="G554" i="35" s="1"/>
  <c r="G553" i="35" s="1"/>
  <c r="G552" i="35" s="1"/>
  <c r="H555" i="35"/>
  <c r="H556" i="35"/>
  <c r="I556" i="35" s="1"/>
  <c r="F561" i="35"/>
  <c r="F560" i="35" s="1"/>
  <c r="F559" i="35" s="1"/>
  <c r="F558" i="35" s="1"/>
  <c r="F557" i="35" s="1"/>
  <c r="G561" i="35"/>
  <c r="G560" i="35" s="1"/>
  <c r="G559" i="35" s="1"/>
  <c r="G558" i="35" s="1"/>
  <c r="G557" i="35" s="1"/>
  <c r="H562" i="35"/>
  <c r="G567" i="35"/>
  <c r="G566" i="35" s="1"/>
  <c r="G565" i="35" s="1"/>
  <c r="G564" i="35" s="1"/>
  <c r="H567" i="35"/>
  <c r="H566" i="35" s="1"/>
  <c r="H565" i="35" s="1"/>
  <c r="F568" i="35"/>
  <c r="F567" i="35" s="1"/>
  <c r="F566" i="35" s="1"/>
  <c r="F565" i="35" s="1"/>
  <c r="F564" i="35" s="1"/>
  <c r="H568" i="35"/>
  <c r="I568" i="35"/>
  <c r="F572" i="35"/>
  <c r="F571" i="35" s="1"/>
  <c r="F570" i="35" s="1"/>
  <c r="F569" i="35" s="1"/>
  <c r="G572" i="35"/>
  <c r="G571" i="35" s="1"/>
  <c r="G570" i="35" s="1"/>
  <c r="G569" i="35" s="1"/>
  <c r="H572" i="35"/>
  <c r="I573" i="35"/>
  <c r="H576" i="35"/>
  <c r="H575" i="35" s="1"/>
  <c r="G577" i="35"/>
  <c r="G576" i="35" s="1"/>
  <c r="G575" i="35" s="1"/>
  <c r="G574" i="35" s="1"/>
  <c r="H577" i="35"/>
  <c r="F578" i="35"/>
  <c r="F577" i="35" s="1"/>
  <c r="F576" i="35" s="1"/>
  <c r="F575" i="35" s="1"/>
  <c r="F574" i="35" s="1"/>
  <c r="H578" i="35"/>
  <c r="I578" i="35"/>
  <c r="F582" i="35"/>
  <c r="F581" i="35" s="1"/>
  <c r="F580" i="35" s="1"/>
  <c r="F579" i="35" s="1"/>
  <c r="G582" i="35"/>
  <c r="G581" i="35" s="1"/>
  <c r="G580" i="35" s="1"/>
  <c r="G579" i="35" s="1"/>
  <c r="H582" i="35"/>
  <c r="H583" i="35"/>
  <c r="I583" i="35"/>
  <c r="F587" i="35"/>
  <c r="G587" i="35"/>
  <c r="G586" i="35" s="1"/>
  <c r="G585" i="35" s="1"/>
  <c r="G584" i="35" s="1"/>
  <c r="H587" i="35"/>
  <c r="H586" i="35" s="1"/>
  <c r="I588" i="35"/>
  <c r="F593" i="35"/>
  <c r="G593" i="35"/>
  <c r="H593" i="35"/>
  <c r="I594" i="35"/>
  <c r="F595" i="35"/>
  <c r="G595" i="35"/>
  <c r="H595" i="35"/>
  <c r="I596" i="35"/>
  <c r="F597" i="35"/>
  <c r="G597" i="35"/>
  <c r="H597" i="35"/>
  <c r="I598" i="35"/>
  <c r="F602" i="35"/>
  <c r="G602" i="35"/>
  <c r="G601" i="35" s="1"/>
  <c r="G600" i="35" s="1"/>
  <c r="G599" i="35" s="1"/>
  <c r="H602" i="35"/>
  <c r="H601" i="35" s="1"/>
  <c r="I603" i="35"/>
  <c r="G607" i="35"/>
  <c r="G606" i="35" s="1"/>
  <c r="G605" i="35" s="1"/>
  <c r="G604" i="35" s="1"/>
  <c r="H607" i="35"/>
  <c r="H606" i="35" s="1"/>
  <c r="F608" i="35"/>
  <c r="I608" i="35" s="1"/>
  <c r="F612" i="35"/>
  <c r="F611" i="35" s="1"/>
  <c r="F610" i="35" s="1"/>
  <c r="F609" i="35" s="1"/>
  <c r="G612" i="35"/>
  <c r="G611" i="35" s="1"/>
  <c r="G610" i="35" s="1"/>
  <c r="G609" i="35" s="1"/>
  <c r="H612" i="35"/>
  <c r="H613" i="35"/>
  <c r="I613" i="35"/>
  <c r="F616" i="35"/>
  <c r="F615" i="35" s="1"/>
  <c r="F614" i="35" s="1"/>
  <c r="F617" i="35"/>
  <c r="G617" i="35"/>
  <c r="G616" i="35" s="1"/>
  <c r="G615" i="35" s="1"/>
  <c r="G614" i="35" s="1"/>
  <c r="H618" i="35"/>
  <c r="F624" i="35"/>
  <c r="F623" i="35" s="1"/>
  <c r="F622" i="35" s="1"/>
  <c r="F621" i="35" s="1"/>
  <c r="G624" i="35"/>
  <c r="G623" i="35" s="1"/>
  <c r="G622" i="35" s="1"/>
  <c r="G621" i="35" s="1"/>
  <c r="H624" i="35"/>
  <c r="H623" i="35" s="1"/>
  <c r="I625" i="35"/>
  <c r="F629" i="35"/>
  <c r="G629" i="35"/>
  <c r="H629" i="35"/>
  <c r="I630" i="35"/>
  <c r="F631" i="35"/>
  <c r="G631" i="35"/>
  <c r="H631" i="35"/>
  <c r="I632" i="35"/>
  <c r="F637" i="35"/>
  <c r="F636" i="35" s="1"/>
  <c r="F635" i="35" s="1"/>
  <c r="F634" i="35" s="1"/>
  <c r="G637" i="35"/>
  <c r="G636" i="35" s="1"/>
  <c r="G635" i="35" s="1"/>
  <c r="G634" i="35" s="1"/>
  <c r="H637" i="35"/>
  <c r="H636" i="35" s="1"/>
  <c r="H635" i="35" s="1"/>
  <c r="H634" i="35" s="1"/>
  <c r="H638" i="35"/>
  <c r="I638" i="35"/>
  <c r="F642" i="35"/>
  <c r="G642" i="35"/>
  <c r="G641" i="35" s="1"/>
  <c r="G640" i="35" s="1"/>
  <c r="G639" i="35" s="1"/>
  <c r="H642" i="35"/>
  <c r="H641" i="35" s="1"/>
  <c r="I643" i="35"/>
  <c r="F647" i="35"/>
  <c r="G647" i="35"/>
  <c r="G646" i="35" s="1"/>
  <c r="G645" i="35" s="1"/>
  <c r="G644" i="35" s="1"/>
  <c r="H647" i="35"/>
  <c r="H646" i="35" s="1"/>
  <c r="I648" i="35"/>
  <c r="F652" i="35"/>
  <c r="F651" i="35" s="1"/>
  <c r="F650" i="35" s="1"/>
  <c r="F649" i="35" s="1"/>
  <c r="G652" i="35"/>
  <c r="G651" i="35" s="1"/>
  <c r="G650" i="35" s="1"/>
  <c r="G649" i="35" s="1"/>
  <c r="H652" i="35"/>
  <c r="H651" i="35" s="1"/>
  <c r="H650" i="35" s="1"/>
  <c r="H649" i="35" s="1"/>
  <c r="H653" i="35"/>
  <c r="I653" i="35"/>
  <c r="G657" i="35"/>
  <c r="G656" i="35" s="1"/>
  <c r="G655" i="35" s="1"/>
  <c r="G654" i="35" s="1"/>
  <c r="F658" i="35"/>
  <c r="F657" i="35" s="1"/>
  <c r="F656" i="35" s="1"/>
  <c r="F655" i="35" s="1"/>
  <c r="F654" i="35" s="1"/>
  <c r="H658" i="35"/>
  <c r="F662" i="35"/>
  <c r="F661" i="35" s="1"/>
  <c r="F660" i="35" s="1"/>
  <c r="F659" i="35" s="1"/>
  <c r="G662" i="35"/>
  <c r="G661" i="35" s="1"/>
  <c r="G660" i="35" s="1"/>
  <c r="G659" i="35" s="1"/>
  <c r="H662" i="35"/>
  <c r="I663" i="35"/>
  <c r="F667" i="35"/>
  <c r="G667" i="35"/>
  <c r="G666" i="35" s="1"/>
  <c r="G665" i="35" s="1"/>
  <c r="G664" i="35" s="1"/>
  <c r="H667" i="35"/>
  <c r="H666" i="35" s="1"/>
  <c r="I668" i="35"/>
  <c r="F672" i="35"/>
  <c r="G672" i="35"/>
  <c r="G671" i="35" s="1"/>
  <c r="G670" i="35" s="1"/>
  <c r="G669" i="35" s="1"/>
  <c r="H672" i="35"/>
  <c r="H671" i="35" s="1"/>
  <c r="I673" i="35"/>
  <c r="F677" i="35"/>
  <c r="G677" i="35"/>
  <c r="G676" i="35" s="1"/>
  <c r="G675" i="35" s="1"/>
  <c r="G674" i="35" s="1"/>
  <c r="H677" i="35"/>
  <c r="H676" i="35" s="1"/>
  <c r="H675" i="35" s="1"/>
  <c r="H674" i="35" s="1"/>
  <c r="I678" i="35"/>
  <c r="F682" i="35"/>
  <c r="F681" i="35" s="1"/>
  <c r="F680" i="35" s="1"/>
  <c r="F679" i="35" s="1"/>
  <c r="G682" i="35"/>
  <c r="G681" i="35" s="1"/>
  <c r="G680" i="35" s="1"/>
  <c r="G679" i="35" s="1"/>
  <c r="H682" i="35"/>
  <c r="I683" i="35"/>
  <c r="G685" i="35"/>
  <c r="G684" i="35" s="1"/>
  <c r="F687" i="35"/>
  <c r="F686" i="35" s="1"/>
  <c r="F685" i="35" s="1"/>
  <c r="F684" i="35" s="1"/>
  <c r="G687" i="35"/>
  <c r="G686" i="35" s="1"/>
  <c r="H688" i="35"/>
  <c r="H687" i="35" s="1"/>
  <c r="I688" i="35"/>
  <c r="G692" i="35"/>
  <c r="G691" i="35" s="1"/>
  <c r="G690" i="35" s="1"/>
  <c r="G689" i="35" s="1"/>
  <c r="H692" i="35"/>
  <c r="H691" i="35" s="1"/>
  <c r="H690" i="35" s="1"/>
  <c r="H689" i="35" s="1"/>
  <c r="F693" i="35"/>
  <c r="F692" i="35" s="1"/>
  <c r="I693" i="35"/>
  <c r="G697" i="35"/>
  <c r="G696" i="35" s="1"/>
  <c r="G695" i="35" s="1"/>
  <c r="G694" i="35" s="1"/>
  <c r="F698" i="35"/>
  <c r="F697" i="35" s="1"/>
  <c r="F696" i="35" s="1"/>
  <c r="F695" i="35" s="1"/>
  <c r="F694" i="35" s="1"/>
  <c r="H698" i="35"/>
  <c r="F702" i="35"/>
  <c r="F701" i="35" s="1"/>
  <c r="F700" i="35" s="1"/>
  <c r="F699" i="35" s="1"/>
  <c r="G702" i="35"/>
  <c r="G701" i="35" s="1"/>
  <c r="G700" i="35" s="1"/>
  <c r="G699" i="35" s="1"/>
  <c r="H702" i="35"/>
  <c r="I703" i="35"/>
  <c r="G706" i="35"/>
  <c r="G705" i="35" s="1"/>
  <c r="G704" i="35" s="1"/>
  <c r="F707" i="35"/>
  <c r="F706" i="35" s="1"/>
  <c r="F705" i="35" s="1"/>
  <c r="F704" i="35" s="1"/>
  <c r="G707" i="35"/>
  <c r="H708" i="35"/>
  <c r="H707" i="35" s="1"/>
  <c r="I708" i="35"/>
  <c r="F712" i="35"/>
  <c r="F711" i="35" s="1"/>
  <c r="F710" i="35" s="1"/>
  <c r="F709" i="35" s="1"/>
  <c r="G712" i="35"/>
  <c r="G711" i="35" s="1"/>
  <c r="G710" i="35" s="1"/>
  <c r="G709" i="35" s="1"/>
  <c r="H712" i="35"/>
  <c r="H711" i="35" s="1"/>
  <c r="H710" i="35" s="1"/>
  <c r="I713" i="35"/>
  <c r="G717" i="35"/>
  <c r="G716" i="35" s="1"/>
  <c r="G715" i="35" s="1"/>
  <c r="G714" i="35" s="1"/>
  <c r="H717" i="35"/>
  <c r="H716" i="35" s="1"/>
  <c r="F718" i="35"/>
  <c r="F717" i="35" s="1"/>
  <c r="F716" i="35" s="1"/>
  <c r="F715" i="35" s="1"/>
  <c r="F714" i="35" s="1"/>
  <c r="H718" i="35"/>
  <c r="I718" i="35"/>
  <c r="F722" i="35"/>
  <c r="F721" i="35" s="1"/>
  <c r="F720" i="35" s="1"/>
  <c r="F719" i="35" s="1"/>
  <c r="G722" i="35"/>
  <c r="G721" i="35" s="1"/>
  <c r="G720" i="35" s="1"/>
  <c r="G719" i="35" s="1"/>
  <c r="H722" i="35"/>
  <c r="H721" i="35" s="1"/>
  <c r="I723" i="35"/>
  <c r="F727" i="35"/>
  <c r="F726" i="35" s="1"/>
  <c r="F725" i="35" s="1"/>
  <c r="F724" i="35" s="1"/>
  <c r="G727" i="35"/>
  <c r="G726" i="35" s="1"/>
  <c r="G725" i="35" s="1"/>
  <c r="G724" i="35" s="1"/>
  <c r="H728" i="35"/>
  <c r="I728" i="35" s="1"/>
  <c r="F732" i="35"/>
  <c r="F731" i="35" s="1"/>
  <c r="F730" i="35" s="1"/>
  <c r="F729" i="35" s="1"/>
  <c r="G732" i="35"/>
  <c r="G731" i="35" s="1"/>
  <c r="G730" i="35" s="1"/>
  <c r="G729" i="35" s="1"/>
  <c r="H732" i="35"/>
  <c r="H731" i="35" s="1"/>
  <c r="H733" i="35"/>
  <c r="I733" i="35"/>
  <c r="F739" i="35"/>
  <c r="F738" i="35" s="1"/>
  <c r="F737" i="35" s="1"/>
  <c r="F736" i="35" s="1"/>
  <c r="F735" i="35" s="1"/>
  <c r="G739" i="35"/>
  <c r="G738" i="35" s="1"/>
  <c r="G737" i="35" s="1"/>
  <c r="G736" i="35" s="1"/>
  <c r="G735" i="35" s="1"/>
  <c r="H739" i="35"/>
  <c r="H738" i="35" s="1"/>
  <c r="H737" i="35" s="1"/>
  <c r="H736" i="35" s="1"/>
  <c r="H735" i="35" s="1"/>
  <c r="I740" i="35"/>
  <c r="G745" i="35"/>
  <c r="G744" i="35" s="1"/>
  <c r="G743" i="35" s="1"/>
  <c r="G742" i="35" s="1"/>
  <c r="G741" i="35" s="1"/>
  <c r="H745" i="35"/>
  <c r="I745" i="35" s="1"/>
  <c r="F746" i="35"/>
  <c r="F745" i="35" s="1"/>
  <c r="F744" i="35" s="1"/>
  <c r="F743" i="35" s="1"/>
  <c r="F742" i="35" s="1"/>
  <c r="F741" i="35" s="1"/>
  <c r="H746" i="35"/>
  <c r="I746" i="35"/>
  <c r="F752" i="35"/>
  <c r="F751" i="35" s="1"/>
  <c r="F750" i="35" s="1"/>
  <c r="F749" i="35" s="1"/>
  <c r="F748" i="35" s="1"/>
  <c r="F747" i="35" s="1"/>
  <c r="G752" i="35"/>
  <c r="G751" i="35" s="1"/>
  <c r="G750" i="35" s="1"/>
  <c r="G749" i="35" s="1"/>
  <c r="G748" i="35" s="1"/>
  <c r="G747" i="35" s="1"/>
  <c r="H752" i="35"/>
  <c r="H751" i="35" s="1"/>
  <c r="H750" i="35" s="1"/>
  <c r="H749" i="35" s="1"/>
  <c r="H748" i="35" s="1"/>
  <c r="H747" i="35" s="1"/>
  <c r="I753" i="35"/>
  <c r="F759" i="35"/>
  <c r="F758" i="35" s="1"/>
  <c r="F757" i="35" s="1"/>
  <c r="F756" i="35" s="1"/>
  <c r="F755" i="35" s="1"/>
  <c r="G759" i="35"/>
  <c r="G758" i="35" s="1"/>
  <c r="G757" i="35" s="1"/>
  <c r="G756" i="35" s="1"/>
  <c r="G755" i="35" s="1"/>
  <c r="H759" i="35"/>
  <c r="I760" i="35"/>
  <c r="G763" i="35"/>
  <c r="G762" i="35" s="1"/>
  <c r="G761" i="35" s="1"/>
  <c r="F764" i="35"/>
  <c r="G764" i="35"/>
  <c r="H764" i="35"/>
  <c r="I765" i="35"/>
  <c r="F766" i="35"/>
  <c r="G766" i="35"/>
  <c r="H766" i="35"/>
  <c r="I767" i="35"/>
  <c r="F773" i="35"/>
  <c r="F772" i="35" s="1"/>
  <c r="F771" i="35" s="1"/>
  <c r="F770" i="35" s="1"/>
  <c r="F769" i="35" s="1"/>
  <c r="F768" i="35" s="1"/>
  <c r="G773" i="35"/>
  <c r="G772" i="35" s="1"/>
  <c r="G771" i="35" s="1"/>
  <c r="G770" i="35" s="1"/>
  <c r="G769" i="35" s="1"/>
  <c r="G768" i="35" s="1"/>
  <c r="H773" i="35"/>
  <c r="H772" i="35" s="1"/>
  <c r="H771" i="35" s="1"/>
  <c r="H770" i="35" s="1"/>
  <c r="H769" i="35" s="1"/>
  <c r="H768" i="35" s="1"/>
  <c r="I768" i="35" s="1"/>
  <c r="I774" i="35"/>
  <c r="G779" i="35"/>
  <c r="G778" i="35" s="1"/>
  <c r="G777" i="35" s="1"/>
  <c r="G776" i="35" s="1"/>
  <c r="H779" i="35"/>
  <c r="F780" i="35"/>
  <c r="F779" i="35" s="1"/>
  <c r="F778" i="35" s="1"/>
  <c r="F777" i="35" s="1"/>
  <c r="F776" i="35" s="1"/>
  <c r="H780" i="35"/>
  <c r="I780" i="35"/>
  <c r="F784" i="35"/>
  <c r="G784" i="35"/>
  <c r="G783" i="35" s="1"/>
  <c r="G782" i="35" s="1"/>
  <c r="G781" i="35" s="1"/>
  <c r="H784" i="35"/>
  <c r="H783" i="35" s="1"/>
  <c r="H782" i="35" s="1"/>
  <c r="H781" i="35" s="1"/>
  <c r="I785" i="35"/>
  <c r="F790" i="35"/>
  <c r="F789" i="35" s="1"/>
  <c r="F788" i="35" s="1"/>
  <c r="F787" i="35" s="1"/>
  <c r="G790" i="35"/>
  <c r="G789" i="35" s="1"/>
  <c r="G788" i="35" s="1"/>
  <c r="G787" i="35" s="1"/>
  <c r="H790" i="35"/>
  <c r="H789" i="35" s="1"/>
  <c r="I789" i="35" s="1"/>
  <c r="I791" i="35"/>
  <c r="G795" i="35"/>
  <c r="G794" i="35" s="1"/>
  <c r="G793" i="35" s="1"/>
  <c r="F796" i="35"/>
  <c r="F795" i="35" s="1"/>
  <c r="F794" i="35" s="1"/>
  <c r="F793" i="35" s="1"/>
  <c r="H796" i="35"/>
  <c r="G799" i="35"/>
  <c r="H799" i="35"/>
  <c r="F800" i="35"/>
  <c r="F799" i="35" s="1"/>
  <c r="H800" i="35"/>
  <c r="I800" i="35"/>
  <c r="G801" i="35"/>
  <c r="H801" i="35"/>
  <c r="I801" i="35" s="1"/>
  <c r="F802" i="35"/>
  <c r="F801" i="35" s="1"/>
  <c r="F806" i="35"/>
  <c r="F805" i="35" s="1"/>
  <c r="F804" i="35" s="1"/>
  <c r="F803" i="35" s="1"/>
  <c r="G806" i="35"/>
  <c r="G805" i="35" s="1"/>
  <c r="G804" i="35" s="1"/>
  <c r="G803" i="35" s="1"/>
  <c r="H806" i="35"/>
  <c r="H805" i="35" s="1"/>
  <c r="I807" i="35"/>
  <c r="F811" i="35"/>
  <c r="F810" i="35" s="1"/>
  <c r="F812" i="35"/>
  <c r="F809" i="35" s="1"/>
  <c r="G812" i="35"/>
  <c r="G809" i="35" s="1"/>
  <c r="F813" i="35"/>
  <c r="H813" i="35"/>
  <c r="H812" i="35" s="1"/>
  <c r="G817" i="35"/>
  <c r="G816" i="35" s="1"/>
  <c r="G815" i="35" s="1"/>
  <c r="G814" i="35" s="1"/>
  <c r="H817" i="35"/>
  <c r="F818" i="35"/>
  <c r="F817" i="35" s="1"/>
  <c r="I818" i="35"/>
  <c r="F819" i="35"/>
  <c r="G819" i="35"/>
  <c r="H819" i="35"/>
  <c r="I819" i="35" s="1"/>
  <c r="I820" i="35"/>
  <c r="F825" i="35"/>
  <c r="F824" i="35" s="1"/>
  <c r="G825" i="35"/>
  <c r="G824" i="35" s="1"/>
  <c r="H825" i="35"/>
  <c r="I826" i="35"/>
  <c r="F830" i="35"/>
  <c r="G830" i="35"/>
  <c r="H830" i="35"/>
  <c r="I831" i="35"/>
  <c r="F832" i="35"/>
  <c r="G832" i="35"/>
  <c r="H832" i="35"/>
  <c r="I833" i="35"/>
  <c r="G837" i="35"/>
  <c r="F838" i="35"/>
  <c r="F837" i="35" s="1"/>
  <c r="I837" i="35" s="1"/>
  <c r="H838" i="35"/>
  <c r="H837" i="35" s="1"/>
  <c r="F841" i="35"/>
  <c r="G841" i="35"/>
  <c r="H841" i="35"/>
  <c r="I842" i="35"/>
  <c r="G843" i="35"/>
  <c r="F844" i="35"/>
  <c r="F843" i="35" s="1"/>
  <c r="H844" i="35"/>
  <c r="H843" i="35" s="1"/>
  <c r="F849" i="35"/>
  <c r="F848" i="35" s="1"/>
  <c r="F847" i="35" s="1"/>
  <c r="G849" i="35"/>
  <c r="G848" i="35" s="1"/>
  <c r="G847" i="35" s="1"/>
  <c r="H849" i="35"/>
  <c r="H848" i="35" s="1"/>
  <c r="I850" i="35"/>
  <c r="F854" i="35"/>
  <c r="G854" i="35"/>
  <c r="H854" i="35"/>
  <c r="I855" i="35"/>
  <c r="G856" i="35"/>
  <c r="H856" i="35"/>
  <c r="F857" i="35"/>
  <c r="F856" i="35" s="1"/>
  <c r="F862" i="35"/>
  <c r="F861" i="35" s="1"/>
  <c r="F860" i="35" s="1"/>
  <c r="F859" i="35" s="1"/>
  <c r="G862" i="35"/>
  <c r="G861" i="35" s="1"/>
  <c r="G860" i="35" s="1"/>
  <c r="H862" i="35"/>
  <c r="H861" i="35" s="1"/>
  <c r="F863" i="35"/>
  <c r="I863" i="35"/>
  <c r="F867" i="35"/>
  <c r="F866" i="35" s="1"/>
  <c r="F865" i="35" s="1"/>
  <c r="F864" i="35" s="1"/>
  <c r="G867" i="35"/>
  <c r="G866" i="35" s="1"/>
  <c r="G865" i="35" s="1"/>
  <c r="G864" i="35" s="1"/>
  <c r="H867" i="35"/>
  <c r="H866" i="35" s="1"/>
  <c r="I868" i="35"/>
  <c r="F872" i="35"/>
  <c r="F871" i="35" s="1"/>
  <c r="F870" i="35" s="1"/>
  <c r="F869" i="35" s="1"/>
  <c r="G872" i="35"/>
  <c r="G871" i="35" s="1"/>
  <c r="G870" i="35" s="1"/>
  <c r="G869" i="35" s="1"/>
  <c r="H872" i="35"/>
  <c r="I872" i="35" s="1"/>
  <c r="I873" i="35"/>
  <c r="F877" i="35"/>
  <c r="G877" i="35"/>
  <c r="H877" i="35"/>
  <c r="I878" i="35"/>
  <c r="F879" i="35"/>
  <c r="G879" i="35"/>
  <c r="H879" i="35"/>
  <c r="I880" i="35"/>
  <c r="F881" i="35"/>
  <c r="G881" i="35"/>
  <c r="H881" i="35"/>
  <c r="I881" i="35" s="1"/>
  <c r="I882" i="35"/>
  <c r="G886" i="35"/>
  <c r="F887" i="35"/>
  <c r="F886" i="35" s="1"/>
  <c r="H887" i="35"/>
  <c r="H886" i="35" s="1"/>
  <c r="I887" i="35"/>
  <c r="G888" i="35"/>
  <c r="H888" i="35"/>
  <c r="F889" i="35"/>
  <c r="F888" i="35" s="1"/>
  <c r="F890" i="35"/>
  <c r="G890" i="35"/>
  <c r="H890" i="35"/>
  <c r="I890" i="35" s="1"/>
  <c r="I891" i="35"/>
  <c r="F895" i="35"/>
  <c r="F894" i="35" s="1"/>
  <c r="F893" i="35" s="1"/>
  <c r="G895" i="35"/>
  <c r="G894" i="35" s="1"/>
  <c r="G893" i="35" s="1"/>
  <c r="G892" i="35" s="1"/>
  <c r="H895" i="35"/>
  <c r="H894" i="35" s="1"/>
  <c r="H893" i="35" s="1"/>
  <c r="H892" i="35" s="1"/>
  <c r="I896" i="35"/>
  <c r="F900" i="35"/>
  <c r="F899" i="35" s="1"/>
  <c r="F898" i="35" s="1"/>
  <c r="F897" i="35" s="1"/>
  <c r="G900" i="35"/>
  <c r="G899" i="35" s="1"/>
  <c r="G898" i="35" s="1"/>
  <c r="G897" i="35" s="1"/>
  <c r="H900" i="35"/>
  <c r="I900" i="35" s="1"/>
  <c r="I901" i="35"/>
  <c r="G905" i="35"/>
  <c r="F906" i="35"/>
  <c r="F905" i="35" s="1"/>
  <c r="H906" i="35"/>
  <c r="H905" i="35" s="1"/>
  <c r="G907" i="35"/>
  <c r="H907" i="35"/>
  <c r="F908" i="35"/>
  <c r="F907" i="35" s="1"/>
  <c r="I908" i="35"/>
  <c r="F909" i="35"/>
  <c r="I909" i="35" s="1"/>
  <c r="G909" i="35"/>
  <c r="H909" i="35"/>
  <c r="I910" i="35"/>
  <c r="F914" i="35"/>
  <c r="F913" i="35" s="1"/>
  <c r="F912" i="35" s="1"/>
  <c r="F911" i="35" s="1"/>
  <c r="G914" i="35"/>
  <c r="G913" i="35" s="1"/>
  <c r="G912" i="35" s="1"/>
  <c r="G911" i="35" s="1"/>
  <c r="H914" i="35"/>
  <c r="I914" i="35" s="1"/>
  <c r="H915" i="35"/>
  <c r="I915" i="35"/>
  <c r="G919" i="35"/>
  <c r="G918" i="35" s="1"/>
  <c r="G917" i="35" s="1"/>
  <c r="G916" i="35" s="1"/>
  <c r="H919" i="35"/>
  <c r="H918" i="35" s="1"/>
  <c r="F920" i="35"/>
  <c r="I920" i="35" s="1"/>
  <c r="F924" i="35"/>
  <c r="F923" i="35" s="1"/>
  <c r="F922" i="35" s="1"/>
  <c r="F921" i="35" s="1"/>
  <c r="G924" i="35"/>
  <c r="G923" i="35" s="1"/>
  <c r="G922" i="35" s="1"/>
  <c r="G921" i="35" s="1"/>
  <c r="H924" i="35"/>
  <c r="I924" i="35" s="1"/>
  <c r="I925" i="35"/>
  <c r="F929" i="35"/>
  <c r="F928" i="35" s="1"/>
  <c r="F927" i="35" s="1"/>
  <c r="F926" i="35" s="1"/>
  <c r="G929" i="35"/>
  <c r="G928" i="35" s="1"/>
  <c r="G927" i="35" s="1"/>
  <c r="G926" i="35" s="1"/>
  <c r="H929" i="35"/>
  <c r="H928" i="35" s="1"/>
  <c r="I930" i="35"/>
  <c r="I931" i="35"/>
  <c r="F935" i="35"/>
  <c r="F934" i="35" s="1"/>
  <c r="F933" i="35" s="1"/>
  <c r="F932" i="35" s="1"/>
  <c r="G935" i="35"/>
  <c r="G934" i="35" s="1"/>
  <c r="G933" i="35" s="1"/>
  <c r="G932" i="35" s="1"/>
  <c r="H935" i="35"/>
  <c r="I936" i="35"/>
  <c r="F940" i="35"/>
  <c r="F939" i="35" s="1"/>
  <c r="F938" i="35" s="1"/>
  <c r="F937" i="35" s="1"/>
  <c r="G940" i="35"/>
  <c r="G939" i="35" s="1"/>
  <c r="G938" i="35" s="1"/>
  <c r="G937" i="35" s="1"/>
  <c r="H940" i="35"/>
  <c r="H941" i="35"/>
  <c r="I941" i="35"/>
  <c r="G945" i="35"/>
  <c r="G944" i="35" s="1"/>
  <c r="G943" i="35" s="1"/>
  <c r="G942" i="35" s="1"/>
  <c r="H945" i="35"/>
  <c r="F946" i="35"/>
  <c r="I946" i="35" s="1"/>
  <c r="F947" i="35"/>
  <c r="G947" i="35"/>
  <c r="H947" i="35"/>
  <c r="I948" i="35"/>
  <c r="F953" i="35"/>
  <c r="F952" i="35" s="1"/>
  <c r="F951" i="35" s="1"/>
  <c r="F950" i="35" s="1"/>
  <c r="F949" i="35" s="1"/>
  <c r="G953" i="35"/>
  <c r="G952" i="35" s="1"/>
  <c r="G951" i="35" s="1"/>
  <c r="G950" i="35" s="1"/>
  <c r="G949" i="35" s="1"/>
  <c r="H954" i="35"/>
  <c r="H953" i="35" s="1"/>
  <c r="I954" i="35"/>
  <c r="F958" i="35"/>
  <c r="F957" i="35" s="1"/>
  <c r="F956" i="35" s="1"/>
  <c r="F955" i="35" s="1"/>
  <c r="G958" i="35"/>
  <c r="G957" i="35" s="1"/>
  <c r="G956" i="35" s="1"/>
  <c r="G955" i="35" s="1"/>
  <c r="H958" i="35"/>
  <c r="H957" i="35" s="1"/>
  <c r="I959" i="35"/>
  <c r="F963" i="35"/>
  <c r="F962" i="35" s="1"/>
  <c r="F961" i="35" s="1"/>
  <c r="F960" i="35" s="1"/>
  <c r="G963" i="35"/>
  <c r="G962" i="35" s="1"/>
  <c r="G961" i="35" s="1"/>
  <c r="G960" i="35" s="1"/>
  <c r="H963" i="35"/>
  <c r="I964" i="35"/>
  <c r="G969" i="35"/>
  <c r="G968" i="35" s="1"/>
  <c r="G967" i="35" s="1"/>
  <c r="G966" i="35" s="1"/>
  <c r="H969" i="35"/>
  <c r="H968" i="35" s="1"/>
  <c r="F970" i="35"/>
  <c r="F969" i="35" s="1"/>
  <c r="F968" i="35" s="1"/>
  <c r="F967" i="35" s="1"/>
  <c r="F966" i="35" s="1"/>
  <c r="I970" i="35"/>
  <c r="F974" i="35"/>
  <c r="F973" i="35" s="1"/>
  <c r="F972" i="35" s="1"/>
  <c r="F971" i="35" s="1"/>
  <c r="G974" i="35"/>
  <c r="G973" i="35" s="1"/>
  <c r="G972" i="35" s="1"/>
  <c r="G971" i="35" s="1"/>
  <c r="H974" i="35"/>
  <c r="H973" i="35" s="1"/>
  <c r="I975" i="35"/>
  <c r="G980" i="35"/>
  <c r="G979" i="35" s="1"/>
  <c r="G978" i="35" s="1"/>
  <c r="G977" i="35" s="1"/>
  <c r="H980" i="35"/>
  <c r="F981" i="35"/>
  <c r="F980" i="35" s="1"/>
  <c r="F979" i="35" s="1"/>
  <c r="F978" i="35" s="1"/>
  <c r="F977" i="35" s="1"/>
  <c r="H981" i="35"/>
  <c r="I981" i="35"/>
  <c r="F985" i="35"/>
  <c r="F984" i="35" s="1"/>
  <c r="F983" i="35" s="1"/>
  <c r="F982" i="35" s="1"/>
  <c r="G985" i="35"/>
  <c r="G984" i="35" s="1"/>
  <c r="G983" i="35" s="1"/>
  <c r="G982" i="35" s="1"/>
  <c r="H985" i="35"/>
  <c r="I986" i="35"/>
  <c r="F990" i="35"/>
  <c r="F989" i="35" s="1"/>
  <c r="F988" i="35" s="1"/>
  <c r="F987" i="35" s="1"/>
  <c r="G990" i="35"/>
  <c r="G989" i="35" s="1"/>
  <c r="G988" i="35" s="1"/>
  <c r="G987" i="35" s="1"/>
  <c r="H990" i="35"/>
  <c r="I991" i="35"/>
  <c r="F995" i="35"/>
  <c r="F994" i="35" s="1"/>
  <c r="F993" i="35" s="1"/>
  <c r="G995" i="35"/>
  <c r="G994" i="35" s="1"/>
  <c r="G993" i="35" s="1"/>
  <c r="H995" i="35"/>
  <c r="H994" i="35" s="1"/>
  <c r="I996" i="35"/>
  <c r="F999" i="35"/>
  <c r="G999" i="35"/>
  <c r="G998" i="35" s="1"/>
  <c r="G997" i="35" s="1"/>
  <c r="H999" i="35"/>
  <c r="H998" i="35" s="1"/>
  <c r="I1000" i="35"/>
  <c r="G1004" i="35"/>
  <c r="H1004" i="35"/>
  <c r="F1005" i="35"/>
  <c r="F1004" i="35" s="1"/>
  <c r="H1005" i="35"/>
  <c r="I1005" i="35"/>
  <c r="F1007" i="35"/>
  <c r="I1007" i="35" s="1"/>
  <c r="G1007" i="35"/>
  <c r="G1006" i="35" s="1"/>
  <c r="H1007" i="35"/>
  <c r="H1006" i="35" s="1"/>
  <c r="F1011" i="35"/>
  <c r="G1011" i="35"/>
  <c r="H1011" i="35"/>
  <c r="I1012" i="35"/>
  <c r="F1013" i="35"/>
  <c r="G1013" i="35"/>
  <c r="H1013" i="35"/>
  <c r="I1014" i="35"/>
  <c r="I1015" i="35"/>
  <c r="F1019" i="35"/>
  <c r="F1018" i="35" s="1"/>
  <c r="F1017" i="35" s="1"/>
  <c r="F1016" i="35" s="1"/>
  <c r="G1019" i="35"/>
  <c r="G1018" i="35" s="1"/>
  <c r="G1017" i="35" s="1"/>
  <c r="G1016" i="35" s="1"/>
  <c r="H1019" i="35"/>
  <c r="H1018" i="35" s="1"/>
  <c r="I1020" i="35"/>
  <c r="F1023" i="35"/>
  <c r="F1022" i="35" s="1"/>
  <c r="F1024" i="35"/>
  <c r="G1024" i="35"/>
  <c r="G1023" i="35" s="1"/>
  <c r="G1022" i="35" s="1"/>
  <c r="H1024" i="35"/>
  <c r="H1023" i="35" s="1"/>
  <c r="I1025" i="35"/>
  <c r="G1028" i="35"/>
  <c r="G1027" i="35" s="1"/>
  <c r="G1026" i="35" s="1"/>
  <c r="H1028" i="35"/>
  <c r="H1027" i="35" s="1"/>
  <c r="H1026" i="35" s="1"/>
  <c r="F1029" i="35"/>
  <c r="F1028" i="35" s="1"/>
  <c r="F1027" i="35" s="1"/>
  <c r="F1026" i="35" s="1"/>
  <c r="H1029" i="35"/>
  <c r="I1029" i="35"/>
  <c r="F1032" i="35"/>
  <c r="G1032" i="35"/>
  <c r="G1031" i="35" s="1"/>
  <c r="G1030" i="35" s="1"/>
  <c r="H1032" i="35"/>
  <c r="H1031" i="35" s="1"/>
  <c r="I1033" i="35"/>
  <c r="F1036" i="35"/>
  <c r="F1035" i="35" s="1"/>
  <c r="F1034" i="35" s="1"/>
  <c r="G1036" i="35"/>
  <c r="G1035" i="35" s="1"/>
  <c r="G1034" i="35" s="1"/>
  <c r="H1036" i="35"/>
  <c r="I1037" i="35"/>
  <c r="G1040" i="35"/>
  <c r="G1039" i="35" s="1"/>
  <c r="G1038" i="35" s="1"/>
  <c r="H1040" i="35"/>
  <c r="H1039" i="35" s="1"/>
  <c r="I1039" i="35" s="1"/>
  <c r="F1041" i="35"/>
  <c r="F1040" i="35" s="1"/>
  <c r="F1039" i="35" s="1"/>
  <c r="F1038" i="35" s="1"/>
  <c r="H1041" i="35"/>
  <c r="I1041" i="35"/>
  <c r="F1044" i="35"/>
  <c r="F1043" i="35" s="1"/>
  <c r="F1042" i="35" s="1"/>
  <c r="G1044" i="35"/>
  <c r="G1043" i="35" s="1"/>
  <c r="G1042" i="35" s="1"/>
  <c r="H1044" i="35"/>
  <c r="H1043" i="35" s="1"/>
  <c r="H1042" i="35" s="1"/>
  <c r="I1045" i="35"/>
  <c r="G1047" i="35"/>
  <c r="G1046" i="35" s="1"/>
  <c r="F1048" i="35"/>
  <c r="F1047" i="35" s="1"/>
  <c r="F1046" i="35" s="1"/>
  <c r="G1048" i="35"/>
  <c r="H1048" i="35"/>
  <c r="I1048" i="35" s="1"/>
  <c r="I1049" i="35"/>
  <c r="F1052" i="35"/>
  <c r="F1051" i="35" s="1"/>
  <c r="F1050" i="35" s="1"/>
  <c r="G1052" i="35"/>
  <c r="G1051" i="35" s="1"/>
  <c r="G1050" i="35" s="1"/>
  <c r="H1052" i="35"/>
  <c r="H1051" i="35" s="1"/>
  <c r="I1053" i="35"/>
  <c r="C7" i="34"/>
  <c r="F7" i="34" s="1"/>
  <c r="D7" i="34"/>
  <c r="D6" i="34" s="1"/>
  <c r="E7" i="34"/>
  <c r="E6" i="34" s="1"/>
  <c r="F8" i="34"/>
  <c r="C9" i="34"/>
  <c r="D9" i="34"/>
  <c r="E9" i="34"/>
  <c r="F9" i="34"/>
  <c r="F10" i="34"/>
  <c r="C11" i="34"/>
  <c r="D11" i="34"/>
  <c r="E11" i="34"/>
  <c r="F11" i="34" s="1"/>
  <c r="F12" i="34"/>
  <c r="F13" i="34"/>
  <c r="F14" i="34"/>
  <c r="F15" i="34"/>
  <c r="C16" i="34"/>
  <c r="D16" i="34"/>
  <c r="E16" i="34"/>
  <c r="F16" i="34" s="1"/>
  <c r="F17" i="34"/>
  <c r="F18" i="34"/>
  <c r="F19" i="34"/>
  <c r="F20" i="34"/>
  <c r="C22" i="34"/>
  <c r="D22" i="34"/>
  <c r="E22" i="34"/>
  <c r="F22" i="34" s="1"/>
  <c r="F23" i="34"/>
  <c r="F24" i="34"/>
  <c r="F25" i="34"/>
  <c r="F26" i="34"/>
  <c r="C27" i="34"/>
  <c r="D27" i="34"/>
  <c r="E27" i="34"/>
  <c r="F27" i="34" s="1"/>
  <c r="F28" i="34"/>
  <c r="F29" i="34"/>
  <c r="C30" i="34"/>
  <c r="F30" i="34" s="1"/>
  <c r="D30" i="34"/>
  <c r="E30" i="34"/>
  <c r="F31" i="34"/>
  <c r="F32" i="34"/>
  <c r="F33" i="34"/>
  <c r="F34" i="34"/>
  <c r="C37" i="34"/>
  <c r="D37" i="34"/>
  <c r="D36" i="34" s="1"/>
  <c r="D35" i="34" s="1"/>
  <c r="E37" i="34"/>
  <c r="F38" i="34"/>
  <c r="F40" i="34"/>
  <c r="C41" i="34"/>
  <c r="D41" i="34"/>
  <c r="E41" i="34"/>
  <c r="F41" i="34" s="1"/>
  <c r="F42" i="34"/>
  <c r="F43" i="34"/>
  <c r="F44" i="34"/>
  <c r="F45" i="34"/>
  <c r="F46" i="34"/>
  <c r="F47" i="34"/>
  <c r="C49" i="34"/>
  <c r="F49" i="34" s="1"/>
  <c r="D49" i="34"/>
  <c r="D48" i="34" s="1"/>
  <c r="E49" i="34"/>
  <c r="E48" i="34" s="1"/>
  <c r="F50" i="34"/>
  <c r="F51" i="34"/>
  <c r="F52" i="34"/>
  <c r="F53" i="34"/>
  <c r="F54" i="34"/>
  <c r="F55" i="34"/>
  <c r="F56" i="34"/>
  <c r="F57" i="34"/>
  <c r="C58" i="34"/>
  <c r="F58" i="34" s="1"/>
  <c r="D58" i="34"/>
  <c r="E58" i="34"/>
  <c r="F59" i="34"/>
  <c r="F60" i="34"/>
  <c r="F61" i="34"/>
  <c r="F63" i="34"/>
  <c r="F64" i="34"/>
  <c r="D65" i="34"/>
  <c r="E65" i="34"/>
  <c r="H798" i="35" l="1"/>
  <c r="I637" i="35"/>
  <c r="I595" i="35"/>
  <c r="I593" i="35"/>
  <c r="I587" i="35"/>
  <c r="I999" i="35"/>
  <c r="I649" i="35"/>
  <c r="I642" i="35"/>
  <c r="H628" i="35"/>
  <c r="H403" i="35"/>
  <c r="H402" i="35" s="1"/>
  <c r="H401" i="35" s="1"/>
  <c r="I221" i="35"/>
  <c r="G523" i="35"/>
  <c r="G522" i="35" s="1"/>
  <c r="G521" i="35" s="1"/>
  <c r="F347" i="35"/>
  <c r="F346" i="35" s="1"/>
  <c r="F345" i="35" s="1"/>
  <c r="F344" i="35" s="1"/>
  <c r="I1042" i="35"/>
  <c r="I1026" i="35"/>
  <c r="F840" i="35"/>
  <c r="F839" i="35" s="1"/>
  <c r="I779" i="35"/>
  <c r="I759" i="35"/>
  <c r="I747" i="35"/>
  <c r="I597" i="35"/>
  <c r="I425" i="35"/>
  <c r="G422" i="35"/>
  <c r="G421" i="35" s="1"/>
  <c r="G420" i="35" s="1"/>
  <c r="G409" i="35" s="1"/>
  <c r="I366" i="35"/>
  <c r="I359" i="35"/>
  <c r="I352" i="35"/>
  <c r="I350" i="35"/>
  <c r="I348" i="35"/>
  <c r="H291" i="35"/>
  <c r="I291" i="35" s="1"/>
  <c r="I214" i="35"/>
  <c r="I148" i="35"/>
  <c r="I64" i="35"/>
  <c r="I49" i="35"/>
  <c r="I43" i="35"/>
  <c r="I279" i="35"/>
  <c r="I1024" i="35"/>
  <c r="I1013" i="35"/>
  <c r="F853" i="35"/>
  <c r="F852" i="35" s="1"/>
  <c r="F851" i="35" s="1"/>
  <c r="F846" i="35"/>
  <c r="F845" i="35" s="1"/>
  <c r="I790" i="35"/>
  <c r="I766" i="35"/>
  <c r="I702" i="35"/>
  <c r="I631" i="35"/>
  <c r="I629" i="35"/>
  <c r="I612" i="35"/>
  <c r="F503" i="35"/>
  <c r="G447" i="35"/>
  <c r="I413" i="35"/>
  <c r="I368" i="35"/>
  <c r="G356" i="35"/>
  <c r="G355" i="35" s="1"/>
  <c r="G354" i="35" s="1"/>
  <c r="I269" i="35"/>
  <c r="I216" i="35"/>
  <c r="I192" i="35"/>
  <c r="I188" i="35"/>
  <c r="I135" i="35"/>
  <c r="I133" i="35"/>
  <c r="I33" i="35"/>
  <c r="H984" i="35"/>
  <c r="I985" i="35"/>
  <c r="F783" i="35"/>
  <c r="F782" i="35" s="1"/>
  <c r="F781" i="35" s="1"/>
  <c r="I781" i="35" s="1"/>
  <c r="I784" i="35"/>
  <c r="F201" i="35"/>
  <c r="F200" i="35" s="1"/>
  <c r="F199" i="35" s="1"/>
  <c r="I202" i="35"/>
  <c r="I1032" i="35"/>
  <c r="I1011" i="35"/>
  <c r="I974" i="35"/>
  <c r="G885" i="35"/>
  <c r="G884" i="35" s="1"/>
  <c r="G883" i="35" s="1"/>
  <c r="G876" i="35"/>
  <c r="G875" i="35" s="1"/>
  <c r="G874" i="35" s="1"/>
  <c r="I854" i="35"/>
  <c r="I652" i="35"/>
  <c r="H581" i="35"/>
  <c r="I581" i="35" s="1"/>
  <c r="I582" i="35"/>
  <c r="I512" i="35"/>
  <c r="H511" i="35"/>
  <c r="H510" i="35" s="1"/>
  <c r="H417" i="35"/>
  <c r="I418" i="35"/>
  <c r="H157" i="35"/>
  <c r="I157" i="35" s="1"/>
  <c r="I158" i="35"/>
  <c r="F120" i="35"/>
  <c r="I121" i="35"/>
  <c r="H429" i="35"/>
  <c r="I430" i="35"/>
  <c r="H1035" i="35"/>
  <c r="I1036" i="35"/>
  <c r="F1010" i="35"/>
  <c r="F1009" i="35" s="1"/>
  <c r="F1008" i="35" s="1"/>
  <c r="I980" i="35"/>
  <c r="F965" i="35"/>
  <c r="I963" i="35"/>
  <c r="I958" i="35"/>
  <c r="H829" i="35"/>
  <c r="I825" i="35"/>
  <c r="H824" i="35"/>
  <c r="I824" i="35" s="1"/>
  <c r="I752" i="35"/>
  <c r="I751" i="35"/>
  <c r="I739" i="35"/>
  <c r="I712" i="35"/>
  <c r="I711" i="35"/>
  <c r="F523" i="35"/>
  <c r="F522" i="35" s="1"/>
  <c r="F521" i="35" s="1"/>
  <c r="I524" i="35"/>
  <c r="H356" i="35"/>
  <c r="H355" i="35" s="1"/>
  <c r="H182" i="35"/>
  <c r="H181" i="35" s="1"/>
  <c r="I183" i="35"/>
  <c r="H167" i="35"/>
  <c r="H166" i="35" s="1"/>
  <c r="I168" i="35"/>
  <c r="H1047" i="35"/>
  <c r="H1046" i="35" s="1"/>
  <c r="I1046" i="35" s="1"/>
  <c r="I1044" i="35"/>
  <c r="H1010" i="35"/>
  <c r="I1010" i="35" s="1"/>
  <c r="H934" i="35"/>
  <c r="H933" i="35" s="1"/>
  <c r="I935" i="35"/>
  <c r="I888" i="35"/>
  <c r="G853" i="35"/>
  <c r="G852" i="35" s="1"/>
  <c r="G851" i="35" s="1"/>
  <c r="G840" i="35"/>
  <c r="G839" i="35" s="1"/>
  <c r="G836" i="35" s="1"/>
  <c r="G835" i="35" s="1"/>
  <c r="G834" i="35" s="1"/>
  <c r="G829" i="35"/>
  <c r="G828" i="35" s="1"/>
  <c r="G827" i="35" s="1"/>
  <c r="I773" i="35"/>
  <c r="I770" i="35"/>
  <c r="F676" i="35"/>
  <c r="F675" i="35" s="1"/>
  <c r="F674" i="35" s="1"/>
  <c r="I674" i="35" s="1"/>
  <c r="I677" i="35"/>
  <c r="H571" i="35"/>
  <c r="I572" i="35"/>
  <c r="F363" i="35"/>
  <c r="F362" i="35" s="1"/>
  <c r="F361" i="35" s="1"/>
  <c r="G313" i="35"/>
  <c r="F172" i="35"/>
  <c r="F171" i="35" s="1"/>
  <c r="F170" i="35" s="1"/>
  <c r="I173" i="35"/>
  <c r="I111" i="35"/>
  <c r="H110" i="35"/>
  <c r="H109" i="35" s="1"/>
  <c r="I832" i="35"/>
  <c r="G775" i="35"/>
  <c r="I682" i="35"/>
  <c r="I667" i="35"/>
  <c r="I602" i="35"/>
  <c r="I526" i="35"/>
  <c r="G503" i="35"/>
  <c r="G213" i="35"/>
  <c r="G212" i="35" s="1"/>
  <c r="G211" i="35" s="1"/>
  <c r="F816" i="35"/>
  <c r="F815" i="35" s="1"/>
  <c r="F814" i="35" s="1"/>
  <c r="F808" i="35" s="1"/>
  <c r="H763" i="35"/>
  <c r="H762" i="35" s="1"/>
  <c r="I624" i="35"/>
  <c r="H592" i="35"/>
  <c r="H591" i="35" s="1"/>
  <c r="I406" i="35"/>
  <c r="I85" i="35"/>
  <c r="F63" i="35"/>
  <c r="G1010" i="35"/>
  <c r="G1009" i="35" s="1"/>
  <c r="G1008" i="35" s="1"/>
  <c r="I1004" i="35"/>
  <c r="I990" i="35"/>
  <c r="I947" i="35"/>
  <c r="H944" i="35"/>
  <c r="H943" i="35" s="1"/>
  <c r="I940" i="35"/>
  <c r="G904" i="35"/>
  <c r="G903" i="35" s="1"/>
  <c r="G902" i="35" s="1"/>
  <c r="I879" i="35"/>
  <c r="F876" i="35"/>
  <c r="F875" i="35" s="1"/>
  <c r="F874" i="35" s="1"/>
  <c r="I843" i="35"/>
  <c r="H816" i="35"/>
  <c r="H815" i="35" s="1"/>
  <c r="G798" i="35"/>
  <c r="G797" i="35" s="1"/>
  <c r="G792" i="35" s="1"/>
  <c r="I722" i="35"/>
  <c r="G628" i="35"/>
  <c r="G627" i="35" s="1"/>
  <c r="G626" i="35" s="1"/>
  <c r="G620" i="35" s="1"/>
  <c r="G619" i="35" s="1"/>
  <c r="G563" i="35" s="1"/>
  <c r="H611" i="35"/>
  <c r="H610" i="35" s="1"/>
  <c r="G592" i="35"/>
  <c r="G591" i="35" s="1"/>
  <c r="G590" i="35" s="1"/>
  <c r="G589" i="35" s="1"/>
  <c r="I555" i="35"/>
  <c r="I550" i="35"/>
  <c r="F541" i="35"/>
  <c r="I500" i="35"/>
  <c r="G497" i="35"/>
  <c r="G496" i="35" s="1"/>
  <c r="G495" i="35" s="1"/>
  <c r="G489" i="35" s="1"/>
  <c r="G488" i="35" s="1"/>
  <c r="G487" i="35" s="1"/>
  <c r="I461" i="35"/>
  <c r="I440" i="35"/>
  <c r="I435" i="35"/>
  <c r="I423" i="35"/>
  <c r="I364" i="35"/>
  <c r="I357" i="35"/>
  <c r="G347" i="35"/>
  <c r="G346" i="35" s="1"/>
  <c r="G345" i="35" s="1"/>
  <c r="G344" i="35" s="1"/>
  <c r="I328" i="35"/>
  <c r="I327" i="35"/>
  <c r="I304" i="35"/>
  <c r="I272" i="35"/>
  <c r="I262" i="35"/>
  <c r="I252" i="35"/>
  <c r="I232" i="35"/>
  <c r="I226" i="35"/>
  <c r="F213" i="35"/>
  <c r="F212" i="35" s="1"/>
  <c r="F211" i="35" s="1"/>
  <c r="F206" i="35" s="1"/>
  <c r="I142" i="35"/>
  <c r="F132" i="35"/>
  <c r="F131" i="35" s="1"/>
  <c r="F130" i="35" s="1"/>
  <c r="F129" i="35" s="1"/>
  <c r="F128" i="35" s="1"/>
  <c r="I74" i="35"/>
  <c r="I72" i="35"/>
  <c r="I67" i="35"/>
  <c r="I60" i="35"/>
  <c r="F45" i="35"/>
  <c r="I28" i="35"/>
  <c r="F370" i="35"/>
  <c r="G363" i="35"/>
  <c r="G362" i="35" s="1"/>
  <c r="G361" i="35" s="1"/>
  <c r="I325" i="35"/>
  <c r="I310" i="35"/>
  <c r="I197" i="35"/>
  <c r="I137" i="35"/>
  <c r="I96" i="35"/>
  <c r="I1047" i="35"/>
  <c r="I1043" i="35"/>
  <c r="H1038" i="35"/>
  <c r="I1038" i="35" s="1"/>
  <c r="F1031" i="35"/>
  <c r="F1030" i="35" s="1"/>
  <c r="F1021" i="35" s="1"/>
  <c r="I1027" i="35"/>
  <c r="G1021" i="35"/>
  <c r="F1006" i="35"/>
  <c r="F1003" i="35" s="1"/>
  <c r="F1002" i="35" s="1"/>
  <c r="F1001" i="35" s="1"/>
  <c r="H997" i="35"/>
  <c r="H993" i="35"/>
  <c r="I994" i="35"/>
  <c r="G976" i="35"/>
  <c r="H967" i="35"/>
  <c r="I968" i="35"/>
  <c r="H956" i="35"/>
  <c r="I957" i="35"/>
  <c r="H952" i="35"/>
  <c r="I953" i="35"/>
  <c r="I907" i="35"/>
  <c r="F892" i="35"/>
  <c r="I892" i="35" s="1"/>
  <c r="I893" i="35"/>
  <c r="H1050" i="35"/>
  <c r="I1050" i="35" s="1"/>
  <c r="I1051" i="35"/>
  <c r="I1040" i="35"/>
  <c r="H1030" i="35"/>
  <c r="I1028" i="35"/>
  <c r="I1006" i="35"/>
  <c r="H1003" i="35"/>
  <c r="G992" i="35"/>
  <c r="H983" i="35"/>
  <c r="I984" i="35"/>
  <c r="G965" i="35"/>
  <c r="I886" i="35"/>
  <c r="H885" i="35"/>
  <c r="H1017" i="35"/>
  <c r="I1018" i="35"/>
  <c r="G1003" i="35"/>
  <c r="G1002" i="35" s="1"/>
  <c r="G1001" i="35" s="1"/>
  <c r="F976" i="35"/>
  <c r="H927" i="35"/>
  <c r="I928" i="35"/>
  <c r="H917" i="35"/>
  <c r="H904" i="35"/>
  <c r="I905" i="35"/>
  <c r="H709" i="35"/>
  <c r="I709" i="35" s="1"/>
  <c r="I710" i="35"/>
  <c r="H1022" i="35"/>
  <c r="I1023" i="35"/>
  <c r="H1009" i="35"/>
  <c r="H972" i="35"/>
  <c r="I973" i="35"/>
  <c r="F904" i="35"/>
  <c r="F903" i="35" s="1"/>
  <c r="F902" i="35" s="1"/>
  <c r="I866" i="35"/>
  <c r="H865" i="35"/>
  <c r="F998" i="35"/>
  <c r="F997" i="35" s="1"/>
  <c r="F992" i="35" s="1"/>
  <c r="H989" i="35"/>
  <c r="H979" i="35"/>
  <c r="H962" i="35"/>
  <c r="F945" i="35"/>
  <c r="H939" i="35"/>
  <c r="H923" i="35"/>
  <c r="F919" i="35"/>
  <c r="H913" i="35"/>
  <c r="H899" i="35"/>
  <c r="F829" i="35"/>
  <c r="F828" i="35" s="1"/>
  <c r="F827" i="35" s="1"/>
  <c r="F823" i="35" s="1"/>
  <c r="F822" i="35" s="1"/>
  <c r="F821" i="35" s="1"/>
  <c r="H809" i="35"/>
  <c r="H811" i="35"/>
  <c r="I812" i="35"/>
  <c r="G754" i="35"/>
  <c r="I737" i="35"/>
  <c r="H720" i="35"/>
  <c r="I721" i="35"/>
  <c r="I716" i="35"/>
  <c r="H715" i="35"/>
  <c r="H686" i="35"/>
  <c r="I687" i="35"/>
  <c r="I623" i="35"/>
  <c r="H622" i="35"/>
  <c r="H570" i="35"/>
  <c r="I571" i="35"/>
  <c r="H529" i="35"/>
  <c r="I530" i="35"/>
  <c r="I460" i="35"/>
  <c r="H459" i="35"/>
  <c r="H847" i="35"/>
  <c r="I848" i="35"/>
  <c r="H840" i="35"/>
  <c r="H804" i="35"/>
  <c r="I805" i="35"/>
  <c r="F798" i="35"/>
  <c r="F797" i="35" s="1"/>
  <c r="F792" i="35" s="1"/>
  <c r="H797" i="35"/>
  <c r="H788" i="35"/>
  <c r="H778" i="35"/>
  <c r="I769" i="35"/>
  <c r="I750" i="35"/>
  <c r="G734" i="35"/>
  <c r="I736" i="35"/>
  <c r="H605" i="35"/>
  <c r="I575" i="35"/>
  <c r="H574" i="35"/>
  <c r="I574" i="35" s="1"/>
  <c r="I1052" i="35"/>
  <c r="I1019" i="35"/>
  <c r="I995" i="35"/>
  <c r="I969" i="35"/>
  <c r="I929" i="35"/>
  <c r="I906" i="35"/>
  <c r="I895" i="35"/>
  <c r="I894" i="35"/>
  <c r="F885" i="35"/>
  <c r="F884" i="35" s="1"/>
  <c r="F883" i="35" s="1"/>
  <c r="H876" i="35"/>
  <c r="I867" i="35"/>
  <c r="H860" i="35"/>
  <c r="I861" i="35"/>
  <c r="I856" i="35"/>
  <c r="H853" i="35"/>
  <c r="G846" i="35"/>
  <c r="G845" i="35" s="1"/>
  <c r="H828" i="35"/>
  <c r="G823" i="35"/>
  <c r="G822" i="35" s="1"/>
  <c r="G821" i="35" s="1"/>
  <c r="G808" i="35"/>
  <c r="I799" i="35"/>
  <c r="H795" i="35"/>
  <c r="I796" i="35"/>
  <c r="F775" i="35"/>
  <c r="I772" i="35"/>
  <c r="F763" i="35"/>
  <c r="F762" i="35" s="1"/>
  <c r="F761" i="35" s="1"/>
  <c r="F754" i="35" s="1"/>
  <c r="F734" i="35" s="1"/>
  <c r="H758" i="35"/>
  <c r="I749" i="35"/>
  <c r="H744" i="35"/>
  <c r="I735" i="35"/>
  <c r="H730" i="35"/>
  <c r="I731" i="35"/>
  <c r="I662" i="35"/>
  <c r="H661" i="35"/>
  <c r="I634" i="35"/>
  <c r="I565" i="35"/>
  <c r="H564" i="35"/>
  <c r="H871" i="35"/>
  <c r="G859" i="35"/>
  <c r="F836" i="35"/>
  <c r="F835" i="35" s="1"/>
  <c r="F834" i="35" s="1"/>
  <c r="I771" i="35"/>
  <c r="I748" i="35"/>
  <c r="I738" i="35"/>
  <c r="F691" i="35"/>
  <c r="I692" i="35"/>
  <c r="I672" i="35"/>
  <c r="F671" i="35"/>
  <c r="F670" i="35" s="1"/>
  <c r="F669" i="35" s="1"/>
  <c r="I647" i="35"/>
  <c r="F646" i="35"/>
  <c r="F645" i="35" s="1"/>
  <c r="F644" i="35" s="1"/>
  <c r="I611" i="35"/>
  <c r="H315" i="35"/>
  <c r="I316" i="35"/>
  <c r="I889" i="35"/>
  <c r="I877" i="35"/>
  <c r="I862" i="35"/>
  <c r="I857" i="35"/>
  <c r="I849" i="35"/>
  <c r="I844" i="35"/>
  <c r="I841" i="35"/>
  <c r="I838" i="35"/>
  <c r="H727" i="35"/>
  <c r="H706" i="35"/>
  <c r="I707" i="35"/>
  <c r="H697" i="35"/>
  <c r="I698" i="35"/>
  <c r="H665" i="35"/>
  <c r="H640" i="35"/>
  <c r="I636" i="35"/>
  <c r="I618" i="35"/>
  <c r="H617" i="35"/>
  <c r="I577" i="35"/>
  <c r="I567" i="35"/>
  <c r="I538" i="35"/>
  <c r="H537" i="35"/>
  <c r="I508" i="35"/>
  <c r="H507" i="35"/>
  <c r="I499" i="35"/>
  <c r="F498" i="35"/>
  <c r="F497" i="35" s="1"/>
  <c r="F496" i="35" s="1"/>
  <c r="F495" i="35" s="1"/>
  <c r="I486" i="35"/>
  <c r="F485" i="35"/>
  <c r="F484" i="35" s="1"/>
  <c r="F483" i="35" s="1"/>
  <c r="F482" i="35" s="1"/>
  <c r="F463" i="35" s="1"/>
  <c r="F447" i="35"/>
  <c r="I434" i="35"/>
  <c r="H433" i="35"/>
  <c r="H421" i="35"/>
  <c r="H411" i="35"/>
  <c r="F403" i="35"/>
  <c r="I404" i="35"/>
  <c r="H383" i="35"/>
  <c r="I384" i="35"/>
  <c r="H334" i="35"/>
  <c r="I335" i="35"/>
  <c r="I830" i="35"/>
  <c r="I817" i="35"/>
  <c r="I813" i="35"/>
  <c r="I806" i="35"/>
  <c r="I802" i="35"/>
  <c r="I764" i="35"/>
  <c r="I732" i="35"/>
  <c r="H701" i="35"/>
  <c r="H681" i="35"/>
  <c r="H670" i="35"/>
  <c r="H657" i="35"/>
  <c r="I658" i="35"/>
  <c r="I651" i="35"/>
  <c r="H645" i="35"/>
  <c r="I646" i="35"/>
  <c r="I635" i="35"/>
  <c r="H627" i="35"/>
  <c r="F607" i="35"/>
  <c r="F592" i="35"/>
  <c r="F591" i="35" s="1"/>
  <c r="F590" i="35" s="1"/>
  <c r="F589" i="35" s="1"/>
  <c r="H554" i="35"/>
  <c r="I549" i="35"/>
  <c r="H543" i="35"/>
  <c r="I544" i="35"/>
  <c r="I493" i="35"/>
  <c r="H492" i="35"/>
  <c r="H478" i="35"/>
  <c r="I479" i="35"/>
  <c r="G811" i="35"/>
  <c r="G810" i="35" s="1"/>
  <c r="I717" i="35"/>
  <c r="I650" i="35"/>
  <c r="G633" i="35"/>
  <c r="H600" i="35"/>
  <c r="H585" i="35"/>
  <c r="I576" i="35"/>
  <c r="I566" i="35"/>
  <c r="I562" i="35"/>
  <c r="H561" i="35"/>
  <c r="I548" i="35"/>
  <c r="G541" i="35"/>
  <c r="G463" i="35"/>
  <c r="H224" i="35"/>
  <c r="I225" i="35"/>
  <c r="F666" i="35"/>
  <c r="F665" i="35" s="1"/>
  <c r="F664" i="35" s="1"/>
  <c r="F641" i="35"/>
  <c r="F640" i="35" s="1"/>
  <c r="F639" i="35" s="1"/>
  <c r="F628" i="35"/>
  <c r="F627" i="35" s="1"/>
  <c r="F626" i="35" s="1"/>
  <c r="F620" i="35" s="1"/>
  <c r="F619" i="35" s="1"/>
  <c r="F601" i="35"/>
  <c r="F600" i="35" s="1"/>
  <c r="F599" i="35" s="1"/>
  <c r="F586" i="35"/>
  <c r="F585" i="35" s="1"/>
  <c r="F584" i="35" s="1"/>
  <c r="I545" i="35"/>
  <c r="H523" i="35"/>
  <c r="H516" i="35"/>
  <c r="I517" i="35"/>
  <c r="I511" i="35"/>
  <c r="H497" i="35"/>
  <c r="H483" i="35"/>
  <c r="H466" i="35"/>
  <c r="I467" i="35"/>
  <c r="H438" i="35"/>
  <c r="I439" i="35"/>
  <c r="H397" i="35"/>
  <c r="I398" i="35"/>
  <c r="I390" i="35"/>
  <c r="H373" i="35"/>
  <c r="H338" i="35"/>
  <c r="I339" i="35"/>
  <c r="I326" i="35"/>
  <c r="H320" i="35"/>
  <c r="I321" i="35"/>
  <c r="G520" i="35"/>
  <c r="H449" i="35"/>
  <c r="I450" i="35"/>
  <c r="I391" i="35"/>
  <c r="I389" i="35"/>
  <c r="F356" i="35"/>
  <c r="F355" i="35" s="1"/>
  <c r="F354" i="35" s="1"/>
  <c r="G206" i="35"/>
  <c r="G205" i="35" s="1"/>
  <c r="G204" i="35" s="1"/>
  <c r="G144" i="35" s="1"/>
  <c r="F520" i="35"/>
  <c r="F489" i="35"/>
  <c r="F488" i="35" s="1"/>
  <c r="F487" i="35" s="1"/>
  <c r="I457" i="35"/>
  <c r="H456" i="35"/>
  <c r="F422" i="35"/>
  <c r="F421" i="35" s="1"/>
  <c r="F420" i="35" s="1"/>
  <c r="F412" i="35"/>
  <c r="F411" i="35" s="1"/>
  <c r="F410" i="35" s="1"/>
  <c r="G403" i="35"/>
  <c r="G402" i="35" s="1"/>
  <c r="G401" i="35" s="1"/>
  <c r="G395" i="35" s="1"/>
  <c r="G394" i="35" s="1"/>
  <c r="G393" i="35" s="1"/>
  <c r="I385" i="35"/>
  <c r="H377" i="35"/>
  <c r="I378" i="35"/>
  <c r="G370" i="35"/>
  <c r="H362" i="35"/>
  <c r="H347" i="35"/>
  <c r="H277" i="35"/>
  <c r="I278" i="35"/>
  <c r="I241" i="35"/>
  <c r="H240" i="35"/>
  <c r="G228" i="35"/>
  <c r="I531" i="35"/>
  <c r="I518" i="35"/>
  <c r="I498" i="35"/>
  <c r="I494" i="35"/>
  <c r="H474" i="35"/>
  <c r="H445" i="35"/>
  <c r="I386" i="35"/>
  <c r="F228" i="35"/>
  <c r="I100" i="35"/>
  <c r="F99" i="35"/>
  <c r="H52" i="35"/>
  <c r="I53" i="35"/>
  <c r="I480" i="35"/>
  <c r="I468" i="35"/>
  <c r="I451" i="35"/>
  <c r="I405" i="35"/>
  <c r="I399" i="35"/>
  <c r="I392" i="35"/>
  <c r="I379" i="35"/>
  <c r="I340" i="35"/>
  <c r="I322" i="35"/>
  <c r="F313" i="35"/>
  <c r="F309" i="35"/>
  <c r="F308" i="35" s="1"/>
  <c r="F307" i="35" s="1"/>
  <c r="H303" i="35"/>
  <c r="H284" i="35"/>
  <c r="I285" i="35"/>
  <c r="I271" i="35"/>
  <c r="H266" i="35"/>
  <c r="I267" i="35"/>
  <c r="I261" i="35"/>
  <c r="H256" i="35"/>
  <c r="I257" i="35"/>
  <c r="I251" i="35"/>
  <c r="H246" i="35"/>
  <c r="I247" i="35"/>
  <c r="H231" i="35"/>
  <c r="F220" i="35"/>
  <c r="F219" i="35" s="1"/>
  <c r="F218" i="35" s="1"/>
  <c r="H200" i="35"/>
  <c r="I201" i="35"/>
  <c r="H186" i="35"/>
  <c r="I187" i="35"/>
  <c r="I139" i="35"/>
  <c r="I106" i="35"/>
  <c r="H105" i="35"/>
  <c r="H16" i="35"/>
  <c r="I17" i="35"/>
  <c r="H308" i="35"/>
  <c r="I309" i="35"/>
  <c r="H298" i="35"/>
  <c r="G282" i="35"/>
  <c r="I270" i="35"/>
  <c r="I260" i="35"/>
  <c r="I250" i="35"/>
  <c r="I238" i="35"/>
  <c r="H237" i="35"/>
  <c r="H219" i="35"/>
  <c r="H213" i="35"/>
  <c r="I208" i="35"/>
  <c r="H207" i="35"/>
  <c r="I147" i="35"/>
  <c r="H146" i="35"/>
  <c r="I110" i="35"/>
  <c r="G82" i="35"/>
  <c r="I286" i="35"/>
  <c r="I141" i="35"/>
  <c r="H132" i="35"/>
  <c r="F125" i="35"/>
  <c r="F124" i="35" s="1"/>
  <c r="F123" i="35" s="1"/>
  <c r="I126" i="35"/>
  <c r="H84" i="35"/>
  <c r="H36" i="35"/>
  <c r="I37" i="35"/>
  <c r="F26" i="35"/>
  <c r="F25" i="35" s="1"/>
  <c r="F9" i="35" s="1"/>
  <c r="F8" i="35" s="1"/>
  <c r="I27" i="35"/>
  <c r="G9" i="35"/>
  <c r="I299" i="35"/>
  <c r="I209" i="35"/>
  <c r="H196" i="35"/>
  <c r="F186" i="35"/>
  <c r="F185" i="35" s="1"/>
  <c r="H161" i="35"/>
  <c r="I162" i="35"/>
  <c r="H156" i="35"/>
  <c r="H151" i="35"/>
  <c r="I152" i="35"/>
  <c r="I140" i="35"/>
  <c r="I124" i="35"/>
  <c r="H123" i="35"/>
  <c r="H71" i="35"/>
  <c r="G45" i="35"/>
  <c r="I190" i="35"/>
  <c r="H176" i="35"/>
  <c r="I177" i="35"/>
  <c r="H171" i="35"/>
  <c r="I172" i="35"/>
  <c r="G132" i="35"/>
  <c r="G131" i="35" s="1"/>
  <c r="G130" i="35" s="1"/>
  <c r="G129" i="35" s="1"/>
  <c r="G128" i="35" s="1"/>
  <c r="H58" i="35"/>
  <c r="H41" i="35"/>
  <c r="I42" i="35"/>
  <c r="I178" i="35"/>
  <c r="I163" i="35"/>
  <c r="I153" i="35"/>
  <c r="I95" i="35"/>
  <c r="G71" i="35"/>
  <c r="G70" i="35" s="1"/>
  <c r="G69" i="35" s="1"/>
  <c r="G63" i="35" s="1"/>
  <c r="I32" i="35"/>
  <c r="H21" i="35"/>
  <c r="I22" i="35"/>
  <c r="I101" i="35"/>
  <c r="I86" i="35"/>
  <c r="I66" i="35"/>
  <c r="H48" i="35"/>
  <c r="H31" i="35"/>
  <c r="H114" i="35"/>
  <c r="I115" i="35"/>
  <c r="H94" i="35"/>
  <c r="H91" i="35"/>
  <c r="I92" i="35"/>
  <c r="H78" i="35"/>
  <c r="I79" i="35"/>
  <c r="I65" i="35"/>
  <c r="F59" i="35"/>
  <c r="F58" i="35" s="1"/>
  <c r="F57" i="35" s="1"/>
  <c r="F56" i="35" s="1"/>
  <c r="I116" i="35"/>
  <c r="I87" i="35"/>
  <c r="I80" i="35"/>
  <c r="I23" i="35"/>
  <c r="H13" i="35"/>
  <c r="I54" i="35"/>
  <c r="I38" i="35"/>
  <c r="I18" i="35"/>
  <c r="D67" i="34"/>
  <c r="E36" i="34"/>
  <c r="C48" i="34"/>
  <c r="F48" i="34" s="1"/>
  <c r="C6" i="34"/>
  <c r="F6" i="34" s="1"/>
  <c r="F37" i="34"/>
  <c r="I182" i="35" l="1"/>
  <c r="H290" i="35"/>
  <c r="G62" i="35"/>
  <c r="I782" i="35"/>
  <c r="I485" i="35"/>
  <c r="I592" i="35"/>
  <c r="H580" i="35"/>
  <c r="I580" i="35" s="1"/>
  <c r="F205" i="35"/>
  <c r="F204" i="35" s="1"/>
  <c r="F144" i="35" s="1"/>
  <c r="I59" i="35"/>
  <c r="I783" i="35"/>
  <c r="F409" i="35"/>
  <c r="I484" i="35"/>
  <c r="I676" i="35"/>
  <c r="I829" i="35"/>
  <c r="G502" i="35"/>
  <c r="I816" i="35"/>
  <c r="G858" i="35"/>
  <c r="G786" i="35" s="1"/>
  <c r="I934" i="35"/>
  <c r="H1034" i="35"/>
  <c r="I1034" i="35" s="1"/>
  <c r="I1035" i="35"/>
  <c r="F119" i="35"/>
  <c r="I120" i="35"/>
  <c r="H416" i="35"/>
  <c r="I417" i="35"/>
  <c r="I25" i="35"/>
  <c r="I220" i="35"/>
  <c r="I167" i="35"/>
  <c r="I363" i="35"/>
  <c r="I628" i="35"/>
  <c r="I1031" i="35"/>
  <c r="G343" i="35"/>
  <c r="F343" i="35"/>
  <c r="I671" i="35"/>
  <c r="I26" i="35"/>
  <c r="F282" i="35"/>
  <c r="I675" i="35"/>
  <c r="I1030" i="35"/>
  <c r="H180" i="35"/>
  <c r="I180" i="35" s="1"/>
  <c r="I181" i="35"/>
  <c r="H428" i="35"/>
  <c r="I429" i="35"/>
  <c r="H12" i="35"/>
  <c r="I13" i="35"/>
  <c r="I31" i="35"/>
  <c r="H30" i="35"/>
  <c r="I30" i="35" s="1"/>
  <c r="H90" i="35"/>
  <c r="I91" i="35"/>
  <c r="H40" i="35"/>
  <c r="I40" i="35" s="1"/>
  <c r="I41" i="35"/>
  <c r="I125" i="35"/>
  <c r="H170" i="35"/>
  <c r="I170" i="35" s="1"/>
  <c r="I171" i="35"/>
  <c r="I123" i="35"/>
  <c r="I146" i="35"/>
  <c r="H145" i="35"/>
  <c r="H212" i="35"/>
  <c r="I213" i="35"/>
  <c r="G281" i="35"/>
  <c r="H185" i="35"/>
  <c r="I185" i="35" s="1"/>
  <c r="I186" i="35"/>
  <c r="I231" i="35"/>
  <c r="H230" i="35"/>
  <c r="H265" i="35"/>
  <c r="I266" i="35"/>
  <c r="I290" i="35"/>
  <c r="H289" i="35"/>
  <c r="I289" i="35" s="1"/>
  <c r="H276" i="35"/>
  <c r="I277" i="35"/>
  <c r="I362" i="35"/>
  <c r="H361" i="35"/>
  <c r="I361" i="35" s="1"/>
  <c r="H455" i="35"/>
  <c r="I456" i="35"/>
  <c r="G408" i="35"/>
  <c r="H437" i="35"/>
  <c r="I437" i="35" s="1"/>
  <c r="I438" i="35"/>
  <c r="H482" i="35"/>
  <c r="I482" i="35" s="1"/>
  <c r="I483" i="35"/>
  <c r="H584" i="35"/>
  <c r="I584" i="35" s="1"/>
  <c r="I585" i="35"/>
  <c r="H599" i="35"/>
  <c r="I599" i="35" s="1"/>
  <c r="I600" i="35"/>
  <c r="I554" i="35"/>
  <c r="H553" i="35"/>
  <c r="I412" i="35"/>
  <c r="I433" i="35"/>
  <c r="H432" i="35"/>
  <c r="I432" i="35" s="1"/>
  <c r="I641" i="35"/>
  <c r="H705" i="35"/>
  <c r="I706" i="35"/>
  <c r="I610" i="35"/>
  <c r="H609" i="35"/>
  <c r="I609" i="35" s="1"/>
  <c r="I661" i="35"/>
  <c r="H660" i="35"/>
  <c r="I758" i="35"/>
  <c r="H757" i="35"/>
  <c r="H827" i="35"/>
  <c r="I828" i="35"/>
  <c r="H875" i="35"/>
  <c r="I876" i="35"/>
  <c r="I778" i="35"/>
  <c r="H777" i="35"/>
  <c r="H839" i="35"/>
  <c r="I840" i="35"/>
  <c r="I798" i="35"/>
  <c r="I923" i="35"/>
  <c r="H922" i="35"/>
  <c r="I979" i="35"/>
  <c r="H978" i="35"/>
  <c r="I1022" i="35"/>
  <c r="H916" i="35"/>
  <c r="I885" i="35"/>
  <c r="H884" i="35"/>
  <c r="H1002" i="35"/>
  <c r="I1003" i="35"/>
  <c r="H942" i="35"/>
  <c r="H955" i="35"/>
  <c r="I955" i="35" s="1"/>
  <c r="I956" i="35"/>
  <c r="H160" i="35"/>
  <c r="I160" i="35" s="1"/>
  <c r="I161" i="35"/>
  <c r="H297" i="35"/>
  <c r="I298" i="35"/>
  <c r="H15" i="35"/>
  <c r="I15" i="35" s="1"/>
  <c r="I16" i="35"/>
  <c r="H255" i="35"/>
  <c r="I256" i="35"/>
  <c r="I303" i="35"/>
  <c r="H302" i="35"/>
  <c r="H444" i="35"/>
  <c r="I445" i="35"/>
  <c r="I240" i="35"/>
  <c r="H239" i="35"/>
  <c r="I239" i="35" s="1"/>
  <c r="H346" i="35"/>
  <c r="I347" i="35"/>
  <c r="H337" i="35"/>
  <c r="I337" i="35" s="1"/>
  <c r="I338" i="35"/>
  <c r="H656" i="35"/>
  <c r="I657" i="35"/>
  <c r="I681" i="35"/>
  <c r="H680" i="35"/>
  <c r="H382" i="35"/>
  <c r="I382" i="35" s="1"/>
  <c r="I383" i="35"/>
  <c r="H410" i="35"/>
  <c r="I411" i="35"/>
  <c r="H536" i="35"/>
  <c r="I537" i="35"/>
  <c r="H616" i="35"/>
  <c r="I617" i="35"/>
  <c r="H639" i="35"/>
  <c r="I640" i="35"/>
  <c r="H726" i="35"/>
  <c r="I727" i="35"/>
  <c r="H569" i="35"/>
  <c r="I569" i="35" s="1"/>
  <c r="I570" i="35"/>
  <c r="H685" i="35"/>
  <c r="I686" i="35"/>
  <c r="I899" i="35"/>
  <c r="H898" i="35"/>
  <c r="I939" i="35"/>
  <c r="H938" i="35"/>
  <c r="I989" i="35"/>
  <c r="H988" i="35"/>
  <c r="H992" i="35"/>
  <c r="I992" i="35" s="1"/>
  <c r="I993" i="35"/>
  <c r="I94" i="35"/>
  <c r="H93" i="35"/>
  <c r="I93" i="35" s="1"/>
  <c r="H20" i="35"/>
  <c r="I20" i="35" s="1"/>
  <c r="I21" i="35"/>
  <c r="H77" i="35"/>
  <c r="I78" i="35"/>
  <c r="G8" i="35"/>
  <c r="I109" i="35"/>
  <c r="H108" i="35"/>
  <c r="I108" i="35" s="1"/>
  <c r="H199" i="35"/>
  <c r="I199" i="35" s="1"/>
  <c r="I200" i="35"/>
  <c r="H51" i="35"/>
  <c r="I51" i="35" s="1"/>
  <c r="I52" i="35"/>
  <c r="H473" i="35"/>
  <c r="I474" i="35"/>
  <c r="I356" i="35"/>
  <c r="F408" i="35"/>
  <c r="H448" i="35"/>
  <c r="I449" i="35"/>
  <c r="H319" i="35"/>
  <c r="I319" i="35" s="1"/>
  <c r="I320" i="35"/>
  <c r="H396" i="35"/>
  <c r="I397" i="35"/>
  <c r="H465" i="35"/>
  <c r="I466" i="35"/>
  <c r="H496" i="35"/>
  <c r="I497" i="35"/>
  <c r="H515" i="35"/>
  <c r="I516" i="35"/>
  <c r="H590" i="35"/>
  <c r="I591" i="35"/>
  <c r="H477" i="35"/>
  <c r="I478" i="35"/>
  <c r="H542" i="35"/>
  <c r="I543" i="35"/>
  <c r="H626" i="35"/>
  <c r="I626" i="35" s="1"/>
  <c r="I627" i="35"/>
  <c r="H644" i="35"/>
  <c r="I644" i="35" s="1"/>
  <c r="I645" i="35"/>
  <c r="I701" i="35"/>
  <c r="H700" i="35"/>
  <c r="I421" i="35"/>
  <c r="H420" i="35"/>
  <c r="I420" i="35" s="1"/>
  <c r="I666" i="35"/>
  <c r="H696" i="35"/>
  <c r="I697" i="35"/>
  <c r="H814" i="35"/>
  <c r="I814" i="35" s="1"/>
  <c r="I815" i="35"/>
  <c r="I871" i="35"/>
  <c r="H870" i="35"/>
  <c r="I744" i="35"/>
  <c r="H743" i="35"/>
  <c r="I860" i="35"/>
  <c r="H604" i="35"/>
  <c r="I788" i="35"/>
  <c r="H787" i="35"/>
  <c r="H803" i="35"/>
  <c r="I803" i="35" s="1"/>
  <c r="I804" i="35"/>
  <c r="I847" i="35"/>
  <c r="I622" i="35"/>
  <c r="H621" i="35"/>
  <c r="H719" i="35"/>
  <c r="I719" i="35" s="1"/>
  <c r="I720" i="35"/>
  <c r="I763" i="35"/>
  <c r="H810" i="35"/>
  <c r="I810" i="35" s="1"/>
  <c r="I811" i="35"/>
  <c r="I913" i="35"/>
  <c r="H912" i="35"/>
  <c r="I945" i="35"/>
  <c r="F944" i="35"/>
  <c r="H1008" i="35"/>
  <c r="I1008" i="35" s="1"/>
  <c r="I1009" i="35"/>
  <c r="H903" i="35"/>
  <c r="I904" i="35"/>
  <c r="H926" i="35"/>
  <c r="I926" i="35" s="1"/>
  <c r="I927" i="35"/>
  <c r="H982" i="35"/>
  <c r="I982" i="35" s="1"/>
  <c r="I983" i="35"/>
  <c r="H951" i="35"/>
  <c r="I952" i="35"/>
  <c r="H966" i="35"/>
  <c r="I967" i="35"/>
  <c r="I998" i="35"/>
  <c r="H150" i="35"/>
  <c r="I150" i="35" s="1"/>
  <c r="I151" i="35"/>
  <c r="I48" i="35"/>
  <c r="H47" i="35"/>
  <c r="H57" i="35"/>
  <c r="I58" i="35"/>
  <c r="H175" i="35"/>
  <c r="I175" i="35" s="1"/>
  <c r="I176" i="35"/>
  <c r="I71" i="35"/>
  <c r="H70" i="35"/>
  <c r="H35" i="35"/>
  <c r="I35" i="35" s="1"/>
  <c r="I36" i="35"/>
  <c r="I132" i="35"/>
  <c r="H131" i="35"/>
  <c r="I207" i="35"/>
  <c r="H218" i="35"/>
  <c r="I218" i="35" s="1"/>
  <c r="I219" i="35"/>
  <c r="I105" i="35"/>
  <c r="H104" i="35"/>
  <c r="H165" i="35"/>
  <c r="I165" i="35" s="1"/>
  <c r="I166" i="35"/>
  <c r="H245" i="35"/>
  <c r="I246" i="35"/>
  <c r="H113" i="35"/>
  <c r="I113" i="35" s="1"/>
  <c r="I114" i="35"/>
  <c r="H155" i="35"/>
  <c r="I155" i="35" s="1"/>
  <c r="I156" i="35"/>
  <c r="I196" i="35"/>
  <c r="H195" i="35"/>
  <c r="I84" i="35"/>
  <c r="H83" i="35"/>
  <c r="H236" i="35"/>
  <c r="I237" i="35"/>
  <c r="H307" i="35"/>
  <c r="I307" i="35" s="1"/>
  <c r="I308" i="35"/>
  <c r="H283" i="35"/>
  <c r="I284" i="35"/>
  <c r="F98" i="35"/>
  <c r="I99" i="35"/>
  <c r="H354" i="35"/>
  <c r="I354" i="35" s="1"/>
  <c r="I355" i="35"/>
  <c r="H376" i="35"/>
  <c r="I376" i="35" s="1"/>
  <c r="I377" i="35"/>
  <c r="I510" i="35"/>
  <c r="H509" i="35"/>
  <c r="I509" i="35" s="1"/>
  <c r="I373" i="35"/>
  <c r="H372" i="35"/>
  <c r="H522" i="35"/>
  <c r="I523" i="35"/>
  <c r="H223" i="35"/>
  <c r="I223" i="35" s="1"/>
  <c r="I224" i="35"/>
  <c r="H560" i="35"/>
  <c r="I561" i="35"/>
  <c r="I586" i="35"/>
  <c r="I601" i="35"/>
  <c r="I492" i="35"/>
  <c r="H491" i="35"/>
  <c r="I607" i="35"/>
  <c r="F606" i="35"/>
  <c r="H669" i="35"/>
  <c r="I669" i="35" s="1"/>
  <c r="I670" i="35"/>
  <c r="H333" i="35"/>
  <c r="I334" i="35"/>
  <c r="F402" i="35"/>
  <c r="I403" i="35"/>
  <c r="I422" i="35"/>
  <c r="H506" i="35"/>
  <c r="I507" i="35"/>
  <c r="H664" i="35"/>
  <c r="I664" i="35" s="1"/>
  <c r="I665" i="35"/>
  <c r="I315" i="35"/>
  <c r="H314" i="35"/>
  <c r="H579" i="35"/>
  <c r="I579" i="35" s="1"/>
  <c r="F690" i="35"/>
  <c r="I691" i="35"/>
  <c r="I564" i="35"/>
  <c r="H729" i="35"/>
  <c r="I729" i="35" s="1"/>
  <c r="I730" i="35"/>
  <c r="H794" i="35"/>
  <c r="I795" i="35"/>
  <c r="H852" i="35"/>
  <c r="I853" i="35"/>
  <c r="I797" i="35"/>
  <c r="I459" i="35"/>
  <c r="H458" i="35"/>
  <c r="I458" i="35" s="1"/>
  <c r="H528" i="35"/>
  <c r="I528" i="35" s="1"/>
  <c r="I529" i="35"/>
  <c r="I715" i="35"/>
  <c r="H714" i="35"/>
  <c r="I714" i="35" s="1"/>
  <c r="H761" i="35"/>
  <c r="I761" i="35" s="1"/>
  <c r="I762" i="35"/>
  <c r="I809" i="35"/>
  <c r="I919" i="35"/>
  <c r="F918" i="35"/>
  <c r="I962" i="35"/>
  <c r="H961" i="35"/>
  <c r="H864" i="35"/>
  <c r="I864" i="35" s="1"/>
  <c r="I865" i="35"/>
  <c r="H971" i="35"/>
  <c r="I971" i="35" s="1"/>
  <c r="I972" i="35"/>
  <c r="H1016" i="35"/>
  <c r="I1016" i="35" s="1"/>
  <c r="I1017" i="35"/>
  <c r="H932" i="35"/>
  <c r="I932" i="35" s="1"/>
  <c r="I933" i="35"/>
  <c r="I997" i="35"/>
  <c r="F36" i="34"/>
  <c r="E35" i="34"/>
  <c r="C36" i="34"/>
  <c r="C35" i="34" s="1"/>
  <c r="C67" i="34"/>
  <c r="H1021" i="35" l="1"/>
  <c r="I1021" i="35" s="1"/>
  <c r="F118" i="35"/>
  <c r="I118" i="35" s="1"/>
  <c r="I119" i="35"/>
  <c r="H808" i="35"/>
  <c r="I808" i="35" s="1"/>
  <c r="H427" i="35"/>
  <c r="I427" i="35" s="1"/>
  <c r="I428" i="35"/>
  <c r="G7" i="35"/>
  <c r="H415" i="35"/>
  <c r="I415" i="35" s="1"/>
  <c r="I416" i="35"/>
  <c r="H851" i="35"/>
  <c r="I852" i="35"/>
  <c r="H332" i="35"/>
  <c r="I333" i="35"/>
  <c r="H244" i="35"/>
  <c r="I244" i="35" s="1"/>
  <c r="I245" i="35"/>
  <c r="F917" i="35"/>
  <c r="I918" i="35"/>
  <c r="H793" i="35"/>
  <c r="I794" i="35"/>
  <c r="I491" i="35"/>
  <c r="H490" i="35"/>
  <c r="I195" i="35"/>
  <c r="H194" i="35"/>
  <c r="I194" i="35" s="1"/>
  <c r="I131" i="35"/>
  <c r="H130" i="35"/>
  <c r="I70" i="35"/>
  <c r="H69" i="35"/>
  <c r="H965" i="35"/>
  <c r="I965" i="35" s="1"/>
  <c r="I966" i="35"/>
  <c r="I903" i="35"/>
  <c r="H902" i="35"/>
  <c r="I902" i="35" s="1"/>
  <c r="I621" i="35"/>
  <c r="H620" i="35"/>
  <c r="I743" i="35"/>
  <c r="H742" i="35"/>
  <c r="H476" i="35"/>
  <c r="I476" i="35" s="1"/>
  <c r="I477" i="35"/>
  <c r="H514" i="35"/>
  <c r="I514" i="35" s="1"/>
  <c r="I515" i="35"/>
  <c r="H464" i="35"/>
  <c r="I465" i="35"/>
  <c r="I938" i="35"/>
  <c r="H937" i="35"/>
  <c r="I937" i="35" s="1"/>
  <c r="I680" i="35"/>
  <c r="H679" i="35"/>
  <c r="I679" i="35" s="1"/>
  <c r="I302" i="35"/>
  <c r="H301" i="35"/>
  <c r="I301" i="35" s="1"/>
  <c r="I884" i="35"/>
  <c r="H883" i="35"/>
  <c r="I883" i="35" s="1"/>
  <c r="I922" i="35"/>
  <c r="H921" i="35"/>
  <c r="I921" i="35" s="1"/>
  <c r="I839" i="35"/>
  <c r="H836" i="35"/>
  <c r="H874" i="35"/>
  <c r="I874" i="35" s="1"/>
  <c r="I875" i="35"/>
  <c r="I230" i="35"/>
  <c r="H229" i="35"/>
  <c r="H89" i="35"/>
  <c r="I90" i="35"/>
  <c r="H11" i="35"/>
  <c r="I12" i="35"/>
  <c r="I961" i="35"/>
  <c r="H960" i="35"/>
  <c r="I960" i="35" s="1"/>
  <c r="F689" i="35"/>
  <c r="I690" i="35"/>
  <c r="I314" i="35"/>
  <c r="H313" i="35"/>
  <c r="I313" i="35" s="1"/>
  <c r="F401" i="35"/>
  <c r="I402" i="35"/>
  <c r="H559" i="35"/>
  <c r="I560" i="35"/>
  <c r="H521" i="35"/>
  <c r="I522" i="35"/>
  <c r="I283" i="35"/>
  <c r="H235" i="35"/>
  <c r="I236" i="35"/>
  <c r="H56" i="35"/>
  <c r="I56" i="35" s="1"/>
  <c r="I57" i="35"/>
  <c r="I912" i="35"/>
  <c r="H911" i="35"/>
  <c r="I911" i="35" s="1"/>
  <c r="H684" i="35"/>
  <c r="I684" i="35" s="1"/>
  <c r="I685" i="35"/>
  <c r="H725" i="35"/>
  <c r="I726" i="35"/>
  <c r="H615" i="35"/>
  <c r="I616" i="35"/>
  <c r="I410" i="35"/>
  <c r="I777" i="35"/>
  <c r="H776" i="35"/>
  <c r="I660" i="35"/>
  <c r="H659" i="35"/>
  <c r="I659" i="35" s="1"/>
  <c r="H505" i="35"/>
  <c r="I506" i="35"/>
  <c r="F605" i="35"/>
  <c r="I606" i="35"/>
  <c r="I372" i="35"/>
  <c r="H371" i="35"/>
  <c r="I83" i="35"/>
  <c r="I104" i="35"/>
  <c r="H103" i="35"/>
  <c r="I103" i="35" s="1"/>
  <c r="I47" i="35"/>
  <c r="H46" i="35"/>
  <c r="H950" i="35"/>
  <c r="I951" i="35"/>
  <c r="I787" i="35"/>
  <c r="I870" i="35"/>
  <c r="H869" i="35"/>
  <c r="I869" i="35" s="1"/>
  <c r="I542" i="35"/>
  <c r="H589" i="35"/>
  <c r="I590" i="35"/>
  <c r="H495" i="35"/>
  <c r="I495" i="35" s="1"/>
  <c r="I496" i="35"/>
  <c r="H395" i="35"/>
  <c r="I396" i="35"/>
  <c r="I448" i="35"/>
  <c r="H472" i="35"/>
  <c r="I473" i="35"/>
  <c r="I988" i="35"/>
  <c r="H987" i="35"/>
  <c r="I987" i="35" s="1"/>
  <c r="I898" i="35"/>
  <c r="H897" i="35"/>
  <c r="I897" i="35" s="1"/>
  <c r="I978" i="35"/>
  <c r="H977" i="35"/>
  <c r="I827" i="35"/>
  <c r="H823" i="35"/>
  <c r="H704" i="35"/>
  <c r="I704" i="35" s="1"/>
  <c r="I705" i="35"/>
  <c r="H211" i="35"/>
  <c r="I212" i="35"/>
  <c r="I98" i="35"/>
  <c r="F82" i="35"/>
  <c r="F62" i="35" s="1"/>
  <c r="F943" i="35"/>
  <c r="I944" i="35"/>
  <c r="H695" i="35"/>
  <c r="I696" i="35"/>
  <c r="I700" i="35"/>
  <c r="H699" i="35"/>
  <c r="I699" i="35" s="1"/>
  <c r="H76" i="35"/>
  <c r="I76" i="35" s="1"/>
  <c r="I77" i="35"/>
  <c r="I639" i="35"/>
  <c r="H535" i="35"/>
  <c r="I536" i="35"/>
  <c r="H655" i="35"/>
  <c r="I656" i="35"/>
  <c r="H345" i="35"/>
  <c r="I346" i="35"/>
  <c r="H443" i="35"/>
  <c r="I444" i="35"/>
  <c r="H254" i="35"/>
  <c r="I254" i="35" s="1"/>
  <c r="I255" i="35"/>
  <c r="H296" i="35"/>
  <c r="I297" i="35"/>
  <c r="H1001" i="35"/>
  <c r="I1001" i="35" s="1"/>
  <c r="I1002" i="35"/>
  <c r="I757" i="35"/>
  <c r="H756" i="35"/>
  <c r="I553" i="35"/>
  <c r="H552" i="35"/>
  <c r="I552" i="35" s="1"/>
  <c r="H454" i="35"/>
  <c r="I455" i="35"/>
  <c r="H275" i="35"/>
  <c r="I276" i="35"/>
  <c r="H264" i="35"/>
  <c r="I264" i="35" s="1"/>
  <c r="I265" i="35"/>
  <c r="I145" i="35"/>
  <c r="F35" i="34"/>
  <c r="E67" i="34"/>
  <c r="F67" i="34" s="1"/>
  <c r="H295" i="35" l="1"/>
  <c r="I296" i="35"/>
  <c r="H442" i="35"/>
  <c r="I443" i="35"/>
  <c r="H654" i="35"/>
  <c r="I655" i="35"/>
  <c r="I823" i="35"/>
  <c r="H822" i="35"/>
  <c r="I371" i="35"/>
  <c r="H370" i="35"/>
  <c r="I370" i="35" s="1"/>
  <c r="I776" i="35"/>
  <c r="H775" i="35"/>
  <c r="I775" i="35" s="1"/>
  <c r="H724" i="35"/>
  <c r="I724" i="35" s="1"/>
  <c r="I725" i="35"/>
  <c r="I229" i="35"/>
  <c r="H835" i="35"/>
  <c r="I836" i="35"/>
  <c r="I620" i="35"/>
  <c r="H619" i="35"/>
  <c r="I619" i="35" s="1"/>
  <c r="I130" i="35"/>
  <c r="H129" i="35"/>
  <c r="I490" i="35"/>
  <c r="H489" i="35"/>
  <c r="H274" i="35"/>
  <c r="I274" i="35" s="1"/>
  <c r="I275" i="35"/>
  <c r="F942" i="35"/>
  <c r="I942" i="35" s="1"/>
  <c r="I943" i="35"/>
  <c r="I211" i="35"/>
  <c r="H206" i="35"/>
  <c r="H471" i="35"/>
  <c r="I472" i="35"/>
  <c r="H394" i="35"/>
  <c r="I589" i="35"/>
  <c r="H949" i="35"/>
  <c r="I949" i="35" s="1"/>
  <c r="I950" i="35"/>
  <c r="H504" i="35"/>
  <c r="I505" i="35"/>
  <c r="H234" i="35"/>
  <c r="I234" i="35" s="1"/>
  <c r="I235" i="35"/>
  <c r="H520" i="35"/>
  <c r="I520" i="35" s="1"/>
  <c r="I521" i="35"/>
  <c r="F395" i="35"/>
  <c r="F394" i="35" s="1"/>
  <c r="F393" i="35" s="1"/>
  <c r="F281" i="35" s="1"/>
  <c r="I401" i="35"/>
  <c r="I689" i="35"/>
  <c r="F633" i="35"/>
  <c r="H10" i="35"/>
  <c r="I11" i="35"/>
  <c r="I464" i="35"/>
  <c r="F916" i="35"/>
  <c r="I917" i="35"/>
  <c r="H331" i="35"/>
  <c r="I331" i="35" s="1"/>
  <c r="I332" i="35"/>
  <c r="I977" i="35"/>
  <c r="H976" i="35"/>
  <c r="I976" i="35" s="1"/>
  <c r="I46" i="35"/>
  <c r="H45" i="35"/>
  <c r="I45" i="35" s="1"/>
  <c r="H614" i="35"/>
  <c r="I614" i="35" s="1"/>
  <c r="I615" i="35"/>
  <c r="I742" i="35"/>
  <c r="H741" i="35"/>
  <c r="I69" i="35"/>
  <c r="H63" i="35"/>
  <c r="I756" i="35"/>
  <c r="H755" i="35"/>
  <c r="H344" i="35"/>
  <c r="I345" i="35"/>
  <c r="H534" i="35"/>
  <c r="I535" i="35"/>
  <c r="H694" i="35"/>
  <c r="I694" i="35" s="1"/>
  <c r="I695" i="35"/>
  <c r="H453" i="35"/>
  <c r="I454" i="35"/>
  <c r="H859" i="35"/>
  <c r="H541" i="35"/>
  <c r="I541" i="35" s="1"/>
  <c r="F604" i="35"/>
  <c r="I605" i="35"/>
  <c r="H558" i="35"/>
  <c r="I559" i="35"/>
  <c r="H88" i="35"/>
  <c r="I88" i="35" s="1"/>
  <c r="I89" i="35"/>
  <c r="H792" i="35"/>
  <c r="I793" i="35"/>
  <c r="I851" i="35"/>
  <c r="H846" i="35"/>
  <c r="I395" i="35" l="1"/>
  <c r="I63" i="35"/>
  <c r="H563" i="35"/>
  <c r="I489" i="35"/>
  <c r="H488" i="35"/>
  <c r="H228" i="35"/>
  <c r="I228" i="35" s="1"/>
  <c r="I822" i="35"/>
  <c r="H821" i="35"/>
  <c r="I821" i="35" s="1"/>
  <c r="I792" i="35"/>
  <c r="H557" i="35"/>
  <c r="I557" i="35" s="1"/>
  <c r="I558" i="35"/>
  <c r="H858" i="35"/>
  <c r="I859" i="35"/>
  <c r="H343" i="35"/>
  <c r="I343" i="35" s="1"/>
  <c r="I344" i="35"/>
  <c r="H503" i="35"/>
  <c r="I504" i="35"/>
  <c r="H470" i="35"/>
  <c r="I471" i="35"/>
  <c r="I442" i="35"/>
  <c r="H409" i="35"/>
  <c r="H845" i="35"/>
  <c r="I845" i="35" s="1"/>
  <c r="I846" i="35"/>
  <c r="I755" i="35"/>
  <c r="H754" i="35"/>
  <c r="I754" i="35" s="1"/>
  <c r="I741" i="35"/>
  <c r="H734" i="35"/>
  <c r="I734" i="35" s="1"/>
  <c r="H82" i="35"/>
  <c r="I82" i="35" s="1"/>
  <c r="I206" i="35"/>
  <c r="H205" i="35"/>
  <c r="I129" i="35"/>
  <c r="H128" i="35"/>
  <c r="I128" i="35" s="1"/>
  <c r="F563" i="35"/>
  <c r="F502" i="35" s="1"/>
  <c r="I604" i="35"/>
  <c r="I453" i="35"/>
  <c r="H447" i="35"/>
  <c r="I447" i="35" s="1"/>
  <c r="H533" i="35"/>
  <c r="I533" i="35" s="1"/>
  <c r="I534" i="35"/>
  <c r="F858" i="35"/>
  <c r="F786" i="35" s="1"/>
  <c r="I916" i="35"/>
  <c r="H9" i="35"/>
  <c r="I10" i="35"/>
  <c r="H393" i="35"/>
  <c r="I393" i="35" s="1"/>
  <c r="I394" i="35"/>
  <c r="H834" i="35"/>
  <c r="I834" i="35" s="1"/>
  <c r="I835" i="35"/>
  <c r="I654" i="35"/>
  <c r="H633" i="35"/>
  <c r="I633" i="35" s="1"/>
  <c r="I295" i="35"/>
  <c r="H282" i="35"/>
  <c r="H281" i="35" l="1"/>
  <c r="I281" i="35" s="1"/>
  <c r="I282" i="35"/>
  <c r="I205" i="35"/>
  <c r="H204" i="35"/>
  <c r="I470" i="35"/>
  <c r="H463" i="35"/>
  <c r="I463" i="35" s="1"/>
  <c r="I563" i="35"/>
  <c r="H8" i="35"/>
  <c r="I9" i="35"/>
  <c r="F7" i="35"/>
  <c r="I409" i="35"/>
  <c r="H786" i="35"/>
  <c r="I786" i="35" s="1"/>
  <c r="H502" i="35"/>
  <c r="I502" i="35" s="1"/>
  <c r="I503" i="35"/>
  <c r="I858" i="35"/>
  <c r="I488" i="35"/>
  <c r="H487" i="35"/>
  <c r="I487" i="35" s="1"/>
  <c r="H62" i="35"/>
  <c r="I62" i="35" s="1"/>
  <c r="I8" i="35" l="1"/>
  <c r="I204" i="35"/>
  <c r="H144" i="35"/>
  <c r="I144" i="35" s="1"/>
  <c r="H408" i="35"/>
  <c r="I408" i="35" s="1"/>
  <c r="H7" i="35" l="1"/>
  <c r="I7" i="35" s="1"/>
  <c r="I879" i="20" l="1"/>
  <c r="I730" i="20"/>
  <c r="I225" i="20"/>
  <c r="I267" i="20"/>
  <c r="I586" i="20"/>
  <c r="I583" i="20"/>
  <c r="I626" i="20"/>
  <c r="I594" i="20"/>
  <c r="I580" i="20"/>
  <c r="I574" i="20"/>
  <c r="I557" i="20"/>
  <c r="I813" i="20"/>
  <c r="I825" i="20"/>
  <c r="I785" i="20"/>
  <c r="I809" i="20"/>
  <c r="I772" i="20"/>
  <c r="I805" i="20"/>
  <c r="I803" i="20"/>
  <c r="I796" i="20"/>
  <c r="I762" i="20"/>
  <c r="I759" i="20"/>
  <c r="I413" i="20"/>
  <c r="I402" i="20"/>
  <c r="I446" i="20"/>
  <c r="I440" i="20"/>
  <c r="I432" i="20"/>
  <c r="I482" i="20"/>
  <c r="I479" i="20"/>
  <c r="I357" i="20"/>
  <c r="I69" i="20"/>
  <c r="H607" i="21" l="1"/>
  <c r="I655" i="21"/>
  <c r="G654" i="21"/>
  <c r="H654" i="21"/>
  <c r="F654" i="21"/>
  <c r="F644" i="21"/>
  <c r="H650" i="21"/>
  <c r="F650" i="21"/>
  <c r="H622" i="21"/>
  <c r="F622" i="21"/>
  <c r="H615" i="21"/>
  <c r="F615" i="21"/>
  <c r="H613" i="21"/>
  <c r="F613" i="21"/>
  <c r="F607" i="21"/>
  <c r="G603" i="21"/>
  <c r="H603" i="21"/>
  <c r="F603" i="21"/>
  <c r="H580" i="21"/>
  <c r="F580" i="21"/>
  <c r="I400" i="21"/>
  <c r="G399" i="21"/>
  <c r="G398" i="21" s="1"/>
  <c r="H399" i="21"/>
  <c r="H398" i="21" s="1"/>
  <c r="F399" i="21"/>
  <c r="F398" i="21" s="1"/>
  <c r="I323" i="21"/>
  <c r="G322" i="21"/>
  <c r="G321" i="21" s="1"/>
  <c r="H322" i="21"/>
  <c r="H321" i="21" s="1"/>
  <c r="F322" i="21"/>
  <c r="F321" i="21" s="1"/>
  <c r="H509" i="21"/>
  <c r="F509" i="21"/>
  <c r="H500" i="21"/>
  <c r="F500" i="21"/>
  <c r="H498" i="21"/>
  <c r="F498" i="21"/>
  <c r="H496" i="21"/>
  <c r="F496" i="21"/>
  <c r="H490" i="21"/>
  <c r="F490" i="21"/>
  <c r="H492" i="21"/>
  <c r="F492" i="21"/>
  <c r="H487" i="21"/>
  <c r="F487" i="21"/>
  <c r="F465" i="21"/>
  <c r="F443" i="21"/>
  <c r="H437" i="21"/>
  <c r="F437" i="21"/>
  <c r="H429" i="21"/>
  <c r="F429" i="21"/>
  <c r="H423" i="21"/>
  <c r="F423" i="21"/>
  <c r="H420" i="21"/>
  <c r="F420" i="21"/>
  <c r="F394" i="21"/>
  <c r="F384" i="21"/>
  <c r="F374" i="21"/>
  <c r="H370" i="21"/>
  <c r="F370" i="21"/>
  <c r="F388" i="21"/>
  <c r="H352" i="21"/>
  <c r="F352" i="21"/>
  <c r="F349" i="21"/>
  <c r="F336" i="21"/>
  <c r="F326" i="21"/>
  <c r="I709" i="21"/>
  <c r="G708" i="21"/>
  <c r="G707" i="21" s="1"/>
  <c r="H708" i="21"/>
  <c r="H707" i="21" s="1"/>
  <c r="F708" i="21"/>
  <c r="F707" i="21" s="1"/>
  <c r="F703" i="21"/>
  <c r="H700" i="21"/>
  <c r="F700" i="21"/>
  <c r="I695" i="21"/>
  <c r="G694" i="21"/>
  <c r="H694" i="21"/>
  <c r="F694" i="21"/>
  <c r="F692" i="21"/>
  <c r="H689" i="21"/>
  <c r="F689" i="21"/>
  <c r="F676" i="21"/>
  <c r="H669" i="21"/>
  <c r="F669" i="21"/>
  <c r="H802" i="21"/>
  <c r="F802" i="21"/>
  <c r="H799" i="21"/>
  <c r="F799" i="21"/>
  <c r="H815" i="21"/>
  <c r="F815" i="21"/>
  <c r="H301" i="21"/>
  <c r="F301" i="21"/>
  <c r="F305" i="21"/>
  <c r="H313" i="21"/>
  <c r="F313" i="21"/>
  <c r="H242" i="21"/>
  <c r="H241" i="21" s="1"/>
  <c r="G242" i="21"/>
  <c r="G241" i="21" s="1"/>
  <c r="F243" i="21"/>
  <c r="F242" i="21" s="1"/>
  <c r="F241" i="21" s="1"/>
  <c r="H262" i="21"/>
  <c r="F262" i="21"/>
  <c r="H260" i="21"/>
  <c r="F260" i="21"/>
  <c r="H159" i="21"/>
  <c r="F159" i="21"/>
  <c r="H129" i="21"/>
  <c r="F129" i="21"/>
  <c r="H108" i="21"/>
  <c r="F108" i="21"/>
  <c r="F96" i="21"/>
  <c r="H66" i="21"/>
  <c r="F66" i="21"/>
  <c r="F69" i="21"/>
  <c r="H69" i="21"/>
  <c r="H46" i="21"/>
  <c r="F46" i="21"/>
  <c r="H506" i="21"/>
  <c r="F506" i="21"/>
  <c r="F43" i="21"/>
  <c r="I322" i="20"/>
  <c r="I842" i="20"/>
  <c r="I846" i="20"/>
  <c r="G846" i="20"/>
  <c r="I844" i="20"/>
  <c r="G844" i="20"/>
  <c r="G842" i="20"/>
  <c r="I838" i="20"/>
  <c r="G838" i="20"/>
  <c r="I836" i="20"/>
  <c r="G836" i="20"/>
  <c r="I833" i="20"/>
  <c r="G833" i="20"/>
  <c r="G825" i="20"/>
  <c r="I819" i="20"/>
  <c r="G819" i="20"/>
  <c r="G813" i="20"/>
  <c r="G803" i="20"/>
  <c r="I799" i="20"/>
  <c r="G799" i="20"/>
  <c r="I788" i="20"/>
  <c r="G788" i="20"/>
  <c r="G785" i="20"/>
  <c r="G772" i="20"/>
  <c r="G762" i="20"/>
  <c r="G759" i="20"/>
  <c r="I752" i="20"/>
  <c r="G752" i="20"/>
  <c r="I745" i="20"/>
  <c r="I744" i="20"/>
  <c r="G745" i="20"/>
  <c r="G744" i="20"/>
  <c r="I996" i="20"/>
  <c r="G996" i="20"/>
  <c r="I989" i="20"/>
  <c r="G989" i="20"/>
  <c r="I987" i="20"/>
  <c r="G987" i="20"/>
  <c r="I981" i="20"/>
  <c r="G981" i="20"/>
  <c r="H977" i="20"/>
  <c r="I977" i="20"/>
  <c r="G977" i="20"/>
  <c r="I873" i="20"/>
  <c r="G873" i="20"/>
  <c r="G862" i="20"/>
  <c r="J635" i="20"/>
  <c r="H634" i="20"/>
  <c r="H633" i="20" s="1"/>
  <c r="I634" i="20"/>
  <c r="I633" i="20" s="1"/>
  <c r="G634" i="20"/>
  <c r="J634" i="20" l="1"/>
  <c r="G633" i="20"/>
  <c r="J633" i="20" s="1"/>
  <c r="I654" i="21"/>
  <c r="I694" i="21"/>
  <c r="I398" i="21"/>
  <c r="I707" i="21"/>
  <c r="I399" i="21"/>
  <c r="I322" i="21"/>
  <c r="I321" i="21"/>
  <c r="I243" i="21"/>
  <c r="I708" i="21"/>
  <c r="I241" i="21"/>
  <c r="I242" i="21"/>
  <c r="G626" i="20" l="1"/>
  <c r="I607" i="20"/>
  <c r="G607" i="20"/>
  <c r="I604" i="20"/>
  <c r="G604" i="20"/>
  <c r="G580" i="20"/>
  <c r="I632" i="20" l="1"/>
  <c r="G632" i="20"/>
  <c r="G574" i="20"/>
  <c r="G557" i="20"/>
  <c r="G586" i="20"/>
  <c r="G585" i="20" s="1"/>
  <c r="J586" i="20"/>
  <c r="H585" i="20"/>
  <c r="H584" i="20" s="1"/>
  <c r="I585" i="20"/>
  <c r="I584" i="20" s="1"/>
  <c r="I503" i="20"/>
  <c r="G503" i="20"/>
  <c r="I497" i="20"/>
  <c r="G497" i="20"/>
  <c r="I494" i="20"/>
  <c r="G494" i="20"/>
  <c r="J585" i="20" l="1"/>
  <c r="G584" i="20"/>
  <c r="J584" i="20" s="1"/>
  <c r="I445" i="20"/>
  <c r="I444" i="20" s="1"/>
  <c r="G446" i="20"/>
  <c r="G445" i="20" s="1"/>
  <c r="G444" i="20" s="1"/>
  <c r="I439" i="20"/>
  <c r="I438" i="20" s="1"/>
  <c r="G440" i="20"/>
  <c r="G439" i="20" s="1"/>
  <c r="G438" i="20" s="1"/>
  <c r="I437" i="20"/>
  <c r="I436" i="20" s="1"/>
  <c r="I435" i="20" s="1"/>
  <c r="G437" i="20"/>
  <c r="G436" i="20" s="1"/>
  <c r="G435" i="20" s="1"/>
  <c r="I431" i="20"/>
  <c r="G432" i="20"/>
  <c r="G431" i="20" s="1"/>
  <c r="I428" i="20"/>
  <c r="I427" i="20" s="1"/>
  <c r="G429" i="20"/>
  <c r="G428" i="20" s="1"/>
  <c r="G427" i="20" s="1"/>
  <c r="I426" i="20"/>
  <c r="I425" i="20" s="1"/>
  <c r="I424" i="20" s="1"/>
  <c r="G426" i="20"/>
  <c r="G425" i="20" s="1"/>
  <c r="G424" i="20" s="1"/>
  <c r="I417" i="20"/>
  <c r="I416" i="20" s="1"/>
  <c r="I415" i="20" s="1"/>
  <c r="I414" i="20" s="1"/>
  <c r="G417" i="20"/>
  <c r="G416" i="20" s="1"/>
  <c r="G415" i="20" s="1"/>
  <c r="G414" i="20" s="1"/>
  <c r="I412" i="20"/>
  <c r="I411" i="20" s="1"/>
  <c r="I410" i="20" s="1"/>
  <c r="G413" i="20"/>
  <c r="G412" i="20" s="1"/>
  <c r="G411" i="20" s="1"/>
  <c r="G410" i="20" s="1"/>
  <c r="G399" i="20"/>
  <c r="G398" i="20" s="1"/>
  <c r="G397" i="20" s="1"/>
  <c r="J462" i="20"/>
  <c r="I461" i="20"/>
  <c r="I460" i="20" s="1"/>
  <c r="I459" i="20" s="1"/>
  <c r="I458" i="20" s="1"/>
  <c r="I457" i="20"/>
  <c r="I456" i="20" s="1"/>
  <c r="I455" i="20"/>
  <c r="I454" i="20" s="1"/>
  <c r="I452" i="20"/>
  <c r="I442" i="20"/>
  <c r="I441" i="20" s="1"/>
  <c r="I433" i="20"/>
  <c r="I420" i="20"/>
  <c r="I419" i="20" s="1"/>
  <c r="I418" i="20" s="1"/>
  <c r="I404" i="20"/>
  <c r="I403" i="20" s="1"/>
  <c r="I401" i="20"/>
  <c r="I400" i="20" s="1"/>
  <c r="I398" i="20"/>
  <c r="I397" i="20" s="1"/>
  <c r="I393" i="20"/>
  <c r="I392" i="20" s="1"/>
  <c r="I391" i="20" s="1"/>
  <c r="I390" i="20" s="1"/>
  <c r="I389" i="20" s="1"/>
  <c r="I388" i="20" s="1"/>
  <c r="I387" i="20" s="1"/>
  <c r="H461" i="20"/>
  <c r="H460" i="20" s="1"/>
  <c r="H459" i="20" s="1"/>
  <c r="H458" i="20" s="1"/>
  <c r="H456" i="20"/>
  <c r="H454" i="20"/>
  <c r="H451" i="20"/>
  <c r="H450" i="20" s="1"/>
  <c r="H445" i="20"/>
  <c r="H444" i="20" s="1"/>
  <c r="H442" i="20"/>
  <c r="H441" i="20" s="1"/>
  <c r="H439" i="20"/>
  <c r="H438" i="20" s="1"/>
  <c r="H436" i="20"/>
  <c r="H435" i="20" s="1"/>
  <c r="H433" i="20"/>
  <c r="H432" i="20"/>
  <c r="H431" i="20" s="1"/>
  <c r="H428" i="20"/>
  <c r="H427" i="20" s="1"/>
  <c r="H425" i="20"/>
  <c r="H424" i="20" s="1"/>
  <c r="H419" i="20"/>
  <c r="H418" i="20" s="1"/>
  <c r="H416" i="20"/>
  <c r="H415" i="20" s="1"/>
  <c r="H414" i="20" s="1"/>
  <c r="H412" i="20"/>
  <c r="H411" i="20" s="1"/>
  <c r="H410" i="20" s="1"/>
  <c r="H404" i="20"/>
  <c r="H403" i="20" s="1"/>
  <c r="H401" i="20"/>
  <c r="H400" i="20" s="1"/>
  <c r="H398" i="20"/>
  <c r="H397" i="20" s="1"/>
  <c r="H392" i="20"/>
  <c r="H391" i="20" s="1"/>
  <c r="H390" i="20" s="1"/>
  <c r="H389" i="20" s="1"/>
  <c r="H388" i="20" s="1"/>
  <c r="H387" i="20" s="1"/>
  <c r="G461" i="20"/>
  <c r="G460" i="20" s="1"/>
  <c r="G459" i="20" s="1"/>
  <c r="G458" i="20" s="1"/>
  <c r="G457" i="20"/>
  <c r="G456" i="20" s="1"/>
  <c r="G455" i="20"/>
  <c r="G454" i="20" s="1"/>
  <c r="G452" i="20"/>
  <c r="G451" i="20" s="1"/>
  <c r="G450" i="20" s="1"/>
  <c r="G442" i="20"/>
  <c r="G441" i="20" s="1"/>
  <c r="G433" i="20"/>
  <c r="G420" i="20"/>
  <c r="G419" i="20" s="1"/>
  <c r="G418" i="20" s="1"/>
  <c r="G404" i="20"/>
  <c r="G403" i="20" s="1"/>
  <c r="G401" i="20"/>
  <c r="G400" i="20" s="1"/>
  <c r="G393" i="20"/>
  <c r="G392" i="20" s="1"/>
  <c r="G391" i="20" s="1"/>
  <c r="G390" i="20" s="1"/>
  <c r="G389" i="20" s="1"/>
  <c r="G388" i="20" s="1"/>
  <c r="G387" i="20" s="1"/>
  <c r="H359" i="20"/>
  <c r="H358" i="20" s="1"/>
  <c r="I359" i="20"/>
  <c r="I358" i="20" s="1"/>
  <c r="G360" i="20"/>
  <c r="J360" i="20" s="1"/>
  <c r="I453" i="20" l="1"/>
  <c r="G409" i="20"/>
  <c r="G408" i="20" s="1"/>
  <c r="G407" i="20" s="1"/>
  <c r="G430" i="20"/>
  <c r="G423" i="20" s="1"/>
  <c r="I409" i="20"/>
  <c r="I408" i="20" s="1"/>
  <c r="I407" i="20" s="1"/>
  <c r="H409" i="20"/>
  <c r="J455" i="20"/>
  <c r="G453" i="20"/>
  <c r="J456" i="20"/>
  <c r="G396" i="20"/>
  <c r="G395" i="20" s="1"/>
  <c r="G394" i="20" s="1"/>
  <c r="G386" i="20" s="1"/>
  <c r="J452" i="20"/>
  <c r="J458" i="20"/>
  <c r="J459" i="20"/>
  <c r="G359" i="20"/>
  <c r="H430" i="20"/>
  <c r="H423" i="20" s="1"/>
  <c r="J454" i="20"/>
  <c r="H396" i="20"/>
  <c r="H395" i="20" s="1"/>
  <c r="H394" i="20" s="1"/>
  <c r="H386" i="20" s="1"/>
  <c r="H408" i="20"/>
  <c r="H407" i="20" s="1"/>
  <c r="H453" i="20"/>
  <c r="H449" i="20" s="1"/>
  <c r="H448" i="20" s="1"/>
  <c r="H447" i="20" s="1"/>
  <c r="J461" i="20"/>
  <c r="J457" i="20"/>
  <c r="I430" i="20"/>
  <c r="I423" i="20" s="1"/>
  <c r="I451" i="20"/>
  <c r="I450" i="20" s="1"/>
  <c r="J460" i="20"/>
  <c r="I396" i="20"/>
  <c r="I395" i="20" s="1"/>
  <c r="I394" i="20" s="1"/>
  <c r="I386" i="20" s="1"/>
  <c r="I449" i="20" l="1"/>
  <c r="I448" i="20" s="1"/>
  <c r="I447" i="20" s="1"/>
  <c r="I422" i="20" s="1"/>
  <c r="I421" i="20" s="1"/>
  <c r="I406" i="20" s="1"/>
  <c r="I385" i="20" s="1"/>
  <c r="J453" i="20"/>
  <c r="G449" i="20"/>
  <c r="G448" i="20" s="1"/>
  <c r="G447" i="20" s="1"/>
  <c r="G422" i="20" s="1"/>
  <c r="G421" i="20" s="1"/>
  <c r="G406" i="20" s="1"/>
  <c r="G385" i="20" s="1"/>
  <c r="G358" i="20"/>
  <c r="J358" i="20" s="1"/>
  <c r="J359" i="20"/>
  <c r="H422" i="20"/>
  <c r="H421" i="20" s="1"/>
  <c r="H406" i="20" s="1"/>
  <c r="H385" i="20" s="1"/>
  <c r="G379" i="20" l="1"/>
  <c r="G377" i="20"/>
  <c r="G322" i="20"/>
  <c r="G304" i="20"/>
  <c r="G301" i="20"/>
  <c r="G267" i="20"/>
  <c r="G243" i="20"/>
  <c r="I81" i="20" l="1"/>
  <c r="I25" i="20"/>
  <c r="I187" i="20"/>
  <c r="I155" i="20"/>
  <c r="I57" i="20"/>
  <c r="H29" i="20"/>
  <c r="H28" i="20" s="1"/>
  <c r="G36" i="20"/>
  <c r="G187" i="20"/>
  <c r="G155" i="20"/>
  <c r="G81" i="20"/>
  <c r="G69" i="20"/>
  <c r="G57" i="20"/>
  <c r="G25" i="20"/>
  <c r="C7" i="33" l="1"/>
  <c r="C8" i="33"/>
  <c r="D8" i="33"/>
  <c r="D7" i="33" s="1"/>
  <c r="D6" i="33" s="1"/>
  <c r="E9" i="33"/>
  <c r="E8" i="33" s="1"/>
  <c r="C10" i="33"/>
  <c r="D10" i="33"/>
  <c r="C11" i="33"/>
  <c r="E11" i="33"/>
  <c r="E10" i="33" s="1"/>
  <c r="C13" i="33"/>
  <c r="D13" i="33"/>
  <c r="C14" i="33"/>
  <c r="E14" i="33"/>
  <c r="E13" i="33" s="1"/>
  <c r="C15" i="33"/>
  <c r="C12" i="33" s="1"/>
  <c r="D15" i="33"/>
  <c r="D12" i="33" s="1"/>
  <c r="C16" i="33"/>
  <c r="E16" i="33"/>
  <c r="E15" i="33" s="1"/>
  <c r="E12" i="33" s="1"/>
  <c r="E17" i="33"/>
  <c r="C18" i="33"/>
  <c r="C17" i="33" s="1"/>
  <c r="E18" i="33"/>
  <c r="C19" i="33"/>
  <c r="D19" i="33"/>
  <c r="D18" i="33" s="1"/>
  <c r="D17" i="33" s="1"/>
  <c r="E19" i="33"/>
  <c r="C23" i="33"/>
  <c r="C22" i="33" s="1"/>
  <c r="C21" i="33" s="1"/>
  <c r="C24" i="33"/>
  <c r="D24" i="33"/>
  <c r="D23" i="33" s="1"/>
  <c r="D22" i="33" s="1"/>
  <c r="D21" i="33" s="1"/>
  <c r="E25" i="33"/>
  <c r="E24" i="33" s="1"/>
  <c r="E23" i="33" s="1"/>
  <c r="E22" i="33" s="1"/>
  <c r="E21" i="33" s="1"/>
  <c r="C26" i="33"/>
  <c r="D26" i="33"/>
  <c r="C27" i="33"/>
  <c r="D27" i="33"/>
  <c r="C28" i="33"/>
  <c r="D28" i="33"/>
  <c r="E29" i="33"/>
  <c r="E28" i="33" s="1"/>
  <c r="E27" i="33" s="1"/>
  <c r="E26" i="33" s="1"/>
  <c r="E7" i="33" l="1"/>
  <c r="E6" i="33" s="1"/>
  <c r="C6" i="33"/>
  <c r="I17" i="21"/>
  <c r="I20" i="21"/>
  <c r="I38" i="21"/>
  <c r="I51" i="21"/>
  <c r="I60" i="21"/>
  <c r="I71" i="21"/>
  <c r="I81" i="21"/>
  <c r="I84" i="21"/>
  <c r="I99" i="21"/>
  <c r="I102" i="21"/>
  <c r="I105" i="21"/>
  <c r="I118" i="21"/>
  <c r="I121" i="21"/>
  <c r="I126" i="21"/>
  <c r="I134" i="21"/>
  <c r="I139" i="21"/>
  <c r="I149" i="21"/>
  <c r="I156" i="21"/>
  <c r="I169" i="21"/>
  <c r="I178" i="21"/>
  <c r="I185" i="21"/>
  <c r="I193" i="21"/>
  <c r="I207" i="21"/>
  <c r="I209" i="21"/>
  <c r="I211" i="21"/>
  <c r="I217" i="21"/>
  <c r="I220" i="21"/>
  <c r="I222" i="21"/>
  <c r="I231" i="21"/>
  <c r="I246" i="21"/>
  <c r="I249" i="21"/>
  <c r="I252" i="21"/>
  <c r="I255" i="21"/>
  <c r="I264" i="21"/>
  <c r="I272" i="21"/>
  <c r="I275" i="21"/>
  <c r="I278" i="21"/>
  <c r="I281" i="21"/>
  <c r="I284" i="21"/>
  <c r="I287" i="21"/>
  <c r="I290" i="21"/>
  <c r="I293" i="21"/>
  <c r="I296" i="21"/>
  <c r="I308" i="21"/>
  <c r="I316" i="21"/>
  <c r="I330" i="21"/>
  <c r="I333" i="21"/>
  <c r="I343" i="21"/>
  <c r="I356" i="21"/>
  <c r="I359" i="21"/>
  <c r="I365" i="21"/>
  <c r="I367" i="21"/>
  <c r="I376" i="21"/>
  <c r="I380" i="21"/>
  <c r="I391" i="21"/>
  <c r="I397" i="21"/>
  <c r="I411" i="21"/>
  <c r="I414" i="21"/>
  <c r="I432" i="21"/>
  <c r="I460" i="21"/>
  <c r="I468" i="21"/>
  <c r="I514" i="21"/>
  <c r="I547" i="21"/>
  <c r="I548" i="21"/>
  <c r="I552" i="21"/>
  <c r="I555" i="21"/>
  <c r="I556" i="21"/>
  <c r="I560" i="21"/>
  <c r="I561" i="21"/>
  <c r="I583" i="21"/>
  <c r="I586" i="21"/>
  <c r="I598" i="21"/>
  <c r="I604" i="21"/>
  <c r="I617" i="21"/>
  <c r="I620" i="21"/>
  <c r="I625" i="21"/>
  <c r="I629" i="21"/>
  <c r="I640" i="21"/>
  <c r="I647" i="21"/>
  <c r="I657" i="21"/>
  <c r="I658" i="21"/>
  <c r="I661" i="21"/>
  <c r="I681" i="21"/>
  <c r="I684" i="21"/>
  <c r="I697" i="21"/>
  <c r="I706" i="21"/>
  <c r="I724" i="21"/>
  <c r="I730" i="21"/>
  <c r="I735" i="21"/>
  <c r="I747" i="21"/>
  <c r="I753" i="21"/>
  <c r="I756" i="21"/>
  <c r="I764" i="21"/>
  <c r="I767" i="21"/>
  <c r="I770" i="21"/>
  <c r="I782" i="21"/>
  <c r="I804" i="21"/>
  <c r="I809" i="21"/>
  <c r="H820" i="21"/>
  <c r="H819" i="21" s="1"/>
  <c r="H818" i="21" s="1"/>
  <c r="H817" i="21" s="1"/>
  <c r="H816" i="21" s="1"/>
  <c r="H814" i="21"/>
  <c r="H813" i="21" s="1"/>
  <c r="H812" i="21" s="1"/>
  <c r="H811" i="21" s="1"/>
  <c r="H810" i="21" s="1"/>
  <c r="H808" i="21"/>
  <c r="H807" i="21" s="1"/>
  <c r="H806" i="21" s="1"/>
  <c r="H805" i="21" s="1"/>
  <c r="H803" i="21"/>
  <c r="H801" i="21"/>
  <c r="H798" i="21"/>
  <c r="H797" i="21" s="1"/>
  <c r="H796" i="21" s="1"/>
  <c r="H792" i="21"/>
  <c r="H791" i="21" s="1"/>
  <c r="H790" i="21" s="1"/>
  <c r="H789" i="21" s="1"/>
  <c r="H788" i="21" s="1"/>
  <c r="H787" i="21"/>
  <c r="H786" i="21" s="1"/>
  <c r="H785" i="21" s="1"/>
  <c r="H784" i="21" s="1"/>
  <c r="H781" i="21"/>
  <c r="H780" i="21" s="1"/>
  <c r="H779" i="21" s="1"/>
  <c r="H776" i="21"/>
  <c r="H775" i="21" s="1"/>
  <c r="H769" i="21"/>
  <c r="H768" i="21" s="1"/>
  <c r="H766" i="21"/>
  <c r="H765" i="21" s="1"/>
  <c r="H763" i="21"/>
  <c r="H762" i="21" s="1"/>
  <c r="H761" i="21"/>
  <c r="H760" i="21" s="1"/>
  <c r="H759" i="21" s="1"/>
  <c r="H755" i="21"/>
  <c r="H754" i="21" s="1"/>
  <c r="H752" i="21"/>
  <c r="H746" i="21"/>
  <c r="H745" i="21" s="1"/>
  <c r="H744" i="21" s="1"/>
  <c r="H742" i="21"/>
  <c r="H741" i="21" s="1"/>
  <c r="H740" i="21" s="1"/>
  <c r="H734" i="21"/>
  <c r="H729" i="21"/>
  <c r="H728" i="21" s="1"/>
  <c r="H727" i="21"/>
  <c r="H726" i="21" s="1"/>
  <c r="H723" i="21"/>
  <c r="H722" i="21" s="1"/>
  <c r="H720" i="21"/>
  <c r="H718" i="21"/>
  <c r="H715" i="21"/>
  <c r="H705" i="21"/>
  <c r="H696" i="21"/>
  <c r="H693" i="21" s="1"/>
  <c r="H688" i="21"/>
  <c r="H683" i="21"/>
  <c r="H680" i="21"/>
  <c r="H672" i="21"/>
  <c r="H668" i="21"/>
  <c r="H660" i="21"/>
  <c r="H656" i="21"/>
  <c r="H653" i="21" s="1"/>
  <c r="H649" i="21"/>
  <c r="H648" i="21" s="1"/>
  <c r="H646" i="21"/>
  <c r="H645" i="21" s="1"/>
  <c r="H643" i="21"/>
  <c r="H639" i="21"/>
  <c r="H638" i="21"/>
  <c r="H637" i="21" s="1"/>
  <c r="H635" i="21"/>
  <c r="H628" i="21"/>
  <c r="H627" i="21"/>
  <c r="H624" i="21"/>
  <c r="H621" i="21"/>
  <c r="H619" i="21"/>
  <c r="H616" i="21"/>
  <c r="H608" i="21"/>
  <c r="H602" i="21"/>
  <c r="H597" i="21"/>
  <c r="H596" i="21"/>
  <c r="H595" i="21" s="1"/>
  <c r="H591" i="21"/>
  <c r="H585" i="21"/>
  <c r="H582" i="21"/>
  <c r="H581" i="21" s="1"/>
  <c r="H574" i="21"/>
  <c r="H568" i="21"/>
  <c r="H567" i="21"/>
  <c r="H559" i="21"/>
  <c r="H554" i="21"/>
  <c r="H551" i="21"/>
  <c r="H546" i="21"/>
  <c r="H544" i="21"/>
  <c r="H543" i="21"/>
  <c r="H540" i="21"/>
  <c r="H539" i="21"/>
  <c r="H533" i="21"/>
  <c r="H529" i="21"/>
  <c r="H528" i="21"/>
  <c r="H525" i="21"/>
  <c r="H524" i="21"/>
  <c r="H517" i="21"/>
  <c r="H513" i="21"/>
  <c r="H512" i="21" s="1"/>
  <c r="H511" i="21"/>
  <c r="H480" i="21"/>
  <c r="H478" i="21"/>
  <c r="H475" i="21"/>
  <c r="H474" i="21" s="1"/>
  <c r="H467" i="21"/>
  <c r="H459" i="21"/>
  <c r="H457" i="21"/>
  <c r="H456" i="21" s="1"/>
  <c r="H453" i="21"/>
  <c r="H447" i="21"/>
  <c r="H439" i="21"/>
  <c r="H431" i="21"/>
  <c r="H426" i="21"/>
  <c r="H425" i="21" s="1"/>
  <c r="H422" i="21"/>
  <c r="H417" i="21"/>
  <c r="H413" i="21"/>
  <c r="H410" i="21"/>
  <c r="H407" i="21"/>
  <c r="H396" i="21"/>
  <c r="H390" i="21"/>
  <c r="H387" i="21"/>
  <c r="H379" i="21"/>
  <c r="H375" i="21"/>
  <c r="H366" i="21"/>
  <c r="H364" i="21"/>
  <c r="H358" i="21"/>
  <c r="H357" i="21" s="1"/>
  <c r="H355" i="21"/>
  <c r="H351" i="21"/>
  <c r="H346" i="21"/>
  <c r="H342" i="21"/>
  <c r="H340" i="21"/>
  <c r="H339" i="21" s="1"/>
  <c r="H335" i="21"/>
  <c r="H334" i="21" s="1"/>
  <c r="H332" i="21"/>
  <c r="H329" i="21"/>
  <c r="H328" i="21" s="1"/>
  <c r="H315" i="21"/>
  <c r="H307" i="21"/>
  <c r="H295" i="21"/>
  <c r="H292" i="21"/>
  <c r="H289" i="21"/>
  <c r="H286" i="21"/>
  <c r="H283" i="21"/>
  <c r="H282" i="21" s="1"/>
  <c r="H280" i="21"/>
  <c r="H277" i="21"/>
  <c r="H276" i="21" s="1"/>
  <c r="H274" i="21"/>
  <c r="H271" i="21"/>
  <c r="H270" i="21" s="1"/>
  <c r="H267" i="21"/>
  <c r="H266" i="21" s="1"/>
  <c r="H263" i="21"/>
  <c r="H261" i="21"/>
  <c r="H254" i="21"/>
  <c r="H251" i="21"/>
  <c r="H250" i="21" s="1"/>
  <c r="H248" i="21"/>
  <c r="H245" i="21"/>
  <c r="H237" i="21"/>
  <c r="H236" i="21" s="1"/>
  <c r="H230" i="21"/>
  <c r="H226" i="21"/>
  <c r="H221" i="21"/>
  <c r="H219" i="21"/>
  <c r="H216" i="21"/>
  <c r="H210" i="21"/>
  <c r="H208" i="21"/>
  <c r="H206" i="21"/>
  <c r="H202" i="21"/>
  <c r="H200" i="21"/>
  <c r="H192" i="21"/>
  <c r="H191" i="21"/>
  <c r="H190" i="21" s="1"/>
  <c r="H189" i="21"/>
  <c r="H188" i="21" s="1"/>
  <c r="H184" i="21"/>
  <c r="H177" i="21"/>
  <c r="H175" i="21"/>
  <c r="H174" i="21" s="1"/>
  <c r="H168" i="21"/>
  <c r="H166" i="21"/>
  <c r="H165" i="21" s="1"/>
  <c r="H158" i="21"/>
  <c r="H155" i="21"/>
  <c r="H154" i="21"/>
  <c r="H152" i="21"/>
  <c r="H148" i="21"/>
  <c r="H147" i="21"/>
  <c r="H145" i="21"/>
  <c r="H138" i="21"/>
  <c r="H133" i="21"/>
  <c r="H125" i="21"/>
  <c r="H120" i="21"/>
  <c r="H117" i="21"/>
  <c r="H116" i="21" s="1"/>
  <c r="H114" i="21"/>
  <c r="H111" i="21"/>
  <c r="H104" i="21"/>
  <c r="H103" i="21" s="1"/>
  <c r="H101" i="21"/>
  <c r="H98" i="21"/>
  <c r="H90" i="21"/>
  <c r="H83" i="21"/>
  <c r="H80" i="21"/>
  <c r="H79" i="21"/>
  <c r="H76" i="21"/>
  <c r="H75" i="21" s="1"/>
  <c r="H70" i="21"/>
  <c r="H59" i="21"/>
  <c r="H54" i="21"/>
  <c r="H50" i="21"/>
  <c r="H49" i="21" s="1"/>
  <c r="H48" i="21"/>
  <c r="H43" i="21"/>
  <c r="H37" i="21"/>
  <c r="H31" i="21"/>
  <c r="H29" i="21"/>
  <c r="H26" i="21"/>
  <c r="H19" i="21"/>
  <c r="H18" i="21" s="1"/>
  <c r="H16" i="21"/>
  <c r="G820" i="21"/>
  <c r="G819" i="21" s="1"/>
  <c r="G818" i="21" s="1"/>
  <c r="G817" i="21" s="1"/>
  <c r="G816" i="21" s="1"/>
  <c r="G814" i="21"/>
  <c r="G813" i="21" s="1"/>
  <c r="G812" i="21" s="1"/>
  <c r="G811" i="21" s="1"/>
  <c r="G810" i="21" s="1"/>
  <c r="G808" i="21"/>
  <c r="G807" i="21" s="1"/>
  <c r="G806" i="21" s="1"/>
  <c r="G805" i="21" s="1"/>
  <c r="G803" i="21"/>
  <c r="G801" i="21"/>
  <c r="G798" i="21"/>
  <c r="G797" i="21" s="1"/>
  <c r="G796" i="21" s="1"/>
  <c r="G791" i="21"/>
  <c r="G790" i="21" s="1"/>
  <c r="G789" i="21" s="1"/>
  <c r="G788" i="21" s="1"/>
  <c r="G786" i="21"/>
  <c r="G785" i="21" s="1"/>
  <c r="G784" i="21" s="1"/>
  <c r="G781" i="21"/>
  <c r="G780" i="21" s="1"/>
  <c r="G779" i="21" s="1"/>
  <c r="G775" i="21"/>
  <c r="G774" i="21" s="1"/>
  <c r="G773" i="21" s="1"/>
  <c r="G772" i="21" s="1"/>
  <c r="G771" i="21" s="1"/>
  <c r="G769" i="21"/>
  <c r="G768" i="21" s="1"/>
  <c r="G766" i="21"/>
  <c r="G765" i="21" s="1"/>
  <c r="G763" i="21"/>
  <c r="G762" i="21" s="1"/>
  <c r="G760" i="21"/>
  <c r="G759" i="21" s="1"/>
  <c r="G755" i="21"/>
  <c r="G754" i="21" s="1"/>
  <c r="G751" i="21"/>
  <c r="G750" i="21" s="1"/>
  <c r="G746" i="21"/>
  <c r="G745" i="21" s="1"/>
  <c r="G744" i="21" s="1"/>
  <c r="G741" i="21"/>
  <c r="G740" i="21" s="1"/>
  <c r="G739" i="21" s="1"/>
  <c r="G738" i="21" s="1"/>
  <c r="G737" i="21" s="1"/>
  <c r="G734" i="21"/>
  <c r="G733" i="21" s="1"/>
  <c r="G732" i="21" s="1"/>
  <c r="G731" i="21" s="1"/>
  <c r="G729" i="21"/>
  <c r="G728" i="21" s="1"/>
  <c r="G726" i="21"/>
  <c r="G725" i="21" s="1"/>
  <c r="G723" i="21"/>
  <c r="G722" i="21" s="1"/>
  <c r="G719" i="21"/>
  <c r="G717" i="21"/>
  <c r="G714" i="21"/>
  <c r="G713" i="21" s="1"/>
  <c r="G705" i="21"/>
  <c r="G704" i="21" s="1"/>
  <c r="G702" i="21"/>
  <c r="G701" i="21" s="1"/>
  <c r="G699" i="21"/>
  <c r="G698" i="21" s="1"/>
  <c r="G696" i="21"/>
  <c r="G693" i="21" s="1"/>
  <c r="G691" i="21"/>
  <c r="G690" i="21" s="1"/>
  <c r="G688" i="21"/>
  <c r="G687" i="21" s="1"/>
  <c r="G683" i="21"/>
  <c r="G682" i="21" s="1"/>
  <c r="G680" i="21"/>
  <c r="G679" i="21" s="1"/>
  <c r="G675" i="21"/>
  <c r="G674" i="21" s="1"/>
  <c r="G673" i="21" s="1"/>
  <c r="G671" i="21"/>
  <c r="G670" i="21" s="1"/>
  <c r="G668" i="21"/>
  <c r="G667" i="21" s="1"/>
  <c r="G666" i="21" s="1"/>
  <c r="G660" i="21"/>
  <c r="G659" i="21" s="1"/>
  <c r="G656" i="21"/>
  <c r="G653" i="21" s="1"/>
  <c r="G649" i="21"/>
  <c r="G648" i="21" s="1"/>
  <c r="G646" i="21"/>
  <c r="G645" i="21" s="1"/>
  <c r="G643" i="21"/>
  <c r="G642" i="21" s="1"/>
  <c r="G639" i="21"/>
  <c r="G637" i="21"/>
  <c r="G634" i="21"/>
  <c r="G633" i="21" s="1"/>
  <c r="G628" i="21"/>
  <c r="G626" i="21"/>
  <c r="G624" i="21"/>
  <c r="G621" i="21"/>
  <c r="G619" i="21"/>
  <c r="G616" i="21"/>
  <c r="G614" i="21"/>
  <c r="G612" i="21"/>
  <c r="G602" i="21"/>
  <c r="G597" i="21"/>
  <c r="G595" i="21"/>
  <c r="G590" i="21"/>
  <c r="G589" i="21" s="1"/>
  <c r="G588" i="21" s="1"/>
  <c r="G587" i="21" s="1"/>
  <c r="G585" i="21"/>
  <c r="G584" i="21" s="1"/>
  <c r="G582" i="21"/>
  <c r="G581" i="21" s="1"/>
  <c r="G579" i="21"/>
  <c r="G578" i="21" s="1"/>
  <c r="G573" i="21"/>
  <c r="G572" i="21" s="1"/>
  <c r="G571" i="21" s="1"/>
  <c r="G570" i="21" s="1"/>
  <c r="G569" i="21" s="1"/>
  <c r="G559" i="21"/>
  <c r="G558" i="21" s="1"/>
  <c r="G557" i="21" s="1"/>
  <c r="G554" i="21"/>
  <c r="G553" i="21" s="1"/>
  <c r="G550" i="21"/>
  <c r="G549" i="21" s="1"/>
  <c r="G546" i="21"/>
  <c r="G545" i="21" s="1"/>
  <c r="G532" i="21"/>
  <c r="G531" i="21" s="1"/>
  <c r="G530" i="21" s="1"/>
  <c r="G516" i="21"/>
  <c r="G515" i="21" s="1"/>
  <c r="G513" i="21"/>
  <c r="G512" i="21" s="1"/>
  <c r="G510" i="21"/>
  <c r="G508" i="21"/>
  <c r="G505" i="21"/>
  <c r="G504" i="21" s="1"/>
  <c r="G499" i="21"/>
  <c r="G497" i="21"/>
  <c r="G495" i="21"/>
  <c r="G491" i="21"/>
  <c r="G489" i="21"/>
  <c r="G486" i="21"/>
  <c r="G485" i="21" s="1"/>
  <c r="G479" i="21"/>
  <c r="G477" i="21"/>
  <c r="G474" i="21"/>
  <c r="G473" i="21" s="1"/>
  <c r="G467" i="21"/>
  <c r="G466" i="21" s="1"/>
  <c r="G464" i="21"/>
  <c r="G463" i="21" s="1"/>
  <c r="G459" i="21"/>
  <c r="G458" i="21" s="1"/>
  <c r="G456" i="21"/>
  <c r="G455" i="21" s="1"/>
  <c r="G452" i="21"/>
  <c r="G451" i="21" s="1"/>
  <c r="G449" i="21"/>
  <c r="G448" i="21" s="1"/>
  <c r="G446" i="21"/>
  <c r="G445" i="21" s="1"/>
  <c r="G442" i="21"/>
  <c r="G441" i="21" s="1"/>
  <c r="G439" i="21"/>
  <c r="G438" i="21" s="1"/>
  <c r="G436" i="21"/>
  <c r="G435" i="21" s="1"/>
  <c r="G431" i="21"/>
  <c r="G430" i="21" s="1"/>
  <c r="G428" i="21"/>
  <c r="G427" i="21" s="1"/>
  <c r="G425" i="21"/>
  <c r="G424" i="21" s="1"/>
  <c r="G422" i="21"/>
  <c r="G421" i="21" s="1"/>
  <c r="G419" i="21"/>
  <c r="G418" i="21" s="1"/>
  <c r="G416" i="21"/>
  <c r="G415" i="21" s="1"/>
  <c r="G413" i="21"/>
  <c r="G412" i="21" s="1"/>
  <c r="G410" i="21"/>
  <c r="G409" i="21" s="1"/>
  <c r="G407" i="21"/>
  <c r="G406" i="21" s="1"/>
  <c r="G404" i="21"/>
  <c r="G403" i="21" s="1"/>
  <c r="G396" i="21"/>
  <c r="G395" i="21" s="1"/>
  <c r="G393" i="21"/>
  <c r="G392" i="21" s="1"/>
  <c r="G390" i="21"/>
  <c r="G389" i="21" s="1"/>
  <c r="G387" i="21"/>
  <c r="G386" i="21" s="1"/>
  <c r="G383" i="21"/>
  <c r="G382" i="21" s="1"/>
  <c r="G381" i="21" s="1"/>
  <c r="G379" i="21"/>
  <c r="G378" i="21" s="1"/>
  <c r="G377" i="21" s="1"/>
  <c r="G375" i="21"/>
  <c r="G373" i="21"/>
  <c r="G369" i="21"/>
  <c r="G368" i="21" s="1"/>
  <c r="G366" i="21"/>
  <c r="G364" i="21"/>
  <c r="G358" i="21"/>
  <c r="G357" i="21" s="1"/>
  <c r="G355" i="21"/>
  <c r="G354" i="21" s="1"/>
  <c r="G351" i="21"/>
  <c r="G350" i="21" s="1"/>
  <c r="G348" i="21"/>
  <c r="G347" i="21" s="1"/>
  <c r="G345" i="21"/>
  <c r="G344" i="21" s="1"/>
  <c r="G342" i="21"/>
  <c r="G341" i="21" s="1"/>
  <c r="G339" i="21"/>
  <c r="G338" i="21" s="1"/>
  <c r="G335" i="21"/>
  <c r="G334" i="21" s="1"/>
  <c r="G332" i="21"/>
  <c r="G331" i="21" s="1"/>
  <c r="G329" i="21"/>
  <c r="G328" i="21" s="1"/>
  <c r="G325" i="21"/>
  <c r="G324" i="21" s="1"/>
  <c r="G320" i="21" s="1"/>
  <c r="G315" i="21"/>
  <c r="G314" i="21" s="1"/>
  <c r="G312" i="21"/>
  <c r="G311" i="21" s="1"/>
  <c r="G307" i="21"/>
  <c r="G306" i="21" s="1"/>
  <c r="G304" i="21"/>
  <c r="G303" i="21" s="1"/>
  <c r="G300" i="21"/>
  <c r="G299" i="21" s="1"/>
  <c r="G298" i="21" s="1"/>
  <c r="G297" i="21" s="1"/>
  <c r="G295" i="21"/>
  <c r="G294" i="21" s="1"/>
  <c r="G292" i="21"/>
  <c r="G291" i="21" s="1"/>
  <c r="G289" i="21"/>
  <c r="G288" i="21" s="1"/>
  <c r="G286" i="21"/>
  <c r="G285" i="21" s="1"/>
  <c r="G283" i="21"/>
  <c r="G282" i="21" s="1"/>
  <c r="G280" i="21"/>
  <c r="G279" i="21" s="1"/>
  <c r="G277" i="21"/>
  <c r="G276" i="21" s="1"/>
  <c r="G274" i="21"/>
  <c r="G273" i="21" s="1"/>
  <c r="G271" i="21"/>
  <c r="G270" i="21" s="1"/>
  <c r="G266" i="21"/>
  <c r="G265" i="21" s="1"/>
  <c r="G263" i="21"/>
  <c r="G261" i="21"/>
  <c r="G259" i="21"/>
  <c r="G254" i="21"/>
  <c r="G253" i="21" s="1"/>
  <c r="G251" i="21"/>
  <c r="G250" i="21" s="1"/>
  <c r="G248" i="21"/>
  <c r="G247" i="21" s="1"/>
  <c r="G245" i="21"/>
  <c r="G244" i="21" s="1"/>
  <c r="G239" i="21"/>
  <c r="G238" i="21" s="1"/>
  <c r="G236" i="21"/>
  <c r="G235" i="21" s="1"/>
  <c r="G230" i="21"/>
  <c r="G229" i="21" s="1"/>
  <c r="G228" i="21" s="1"/>
  <c r="G227" i="21" s="1"/>
  <c r="G225" i="21"/>
  <c r="G224" i="21" s="1"/>
  <c r="G223" i="21" s="1"/>
  <c r="G221" i="21"/>
  <c r="G219" i="21"/>
  <c r="G216" i="21"/>
  <c r="G215" i="21" s="1"/>
  <c r="G210" i="21"/>
  <c r="G208" i="21"/>
  <c r="G206" i="21"/>
  <c r="G201" i="21"/>
  <c r="G199" i="21"/>
  <c r="G192" i="21"/>
  <c r="G190" i="21"/>
  <c r="G188" i="21"/>
  <c r="G184" i="21"/>
  <c r="G183" i="21" s="1"/>
  <c r="G177" i="21"/>
  <c r="G176" i="21" s="1"/>
  <c r="G174" i="21"/>
  <c r="G173" i="21" s="1"/>
  <c r="G168" i="21"/>
  <c r="G167" i="21" s="1"/>
  <c r="G165" i="21"/>
  <c r="G164" i="21" s="1"/>
  <c r="G158" i="21"/>
  <c r="G157" i="21" s="1"/>
  <c r="G155" i="21"/>
  <c r="G153" i="21"/>
  <c r="G151" i="21"/>
  <c r="G148" i="21"/>
  <c r="G146" i="21"/>
  <c r="G144" i="21"/>
  <c r="G138" i="21"/>
  <c r="G137" i="21" s="1"/>
  <c r="G136" i="21" s="1"/>
  <c r="G135" i="21" s="1"/>
  <c r="G133" i="21"/>
  <c r="G132" i="21" s="1"/>
  <c r="G131" i="21" s="1"/>
  <c r="G130" i="21" s="1"/>
  <c r="G128" i="21"/>
  <c r="G127" i="21" s="1"/>
  <c r="G125" i="21"/>
  <c r="G124" i="21" s="1"/>
  <c r="G120" i="21"/>
  <c r="G119" i="21" s="1"/>
  <c r="G117" i="21"/>
  <c r="G116" i="21" s="1"/>
  <c r="G113" i="21"/>
  <c r="G112" i="21" s="1"/>
  <c r="G110" i="21"/>
  <c r="G109" i="21" s="1"/>
  <c r="G107" i="21"/>
  <c r="G106" i="21" s="1"/>
  <c r="G104" i="21"/>
  <c r="G103" i="21" s="1"/>
  <c r="G101" i="21"/>
  <c r="G100" i="21" s="1"/>
  <c r="G98" i="21"/>
  <c r="G97" i="21" s="1"/>
  <c r="G95" i="21"/>
  <c r="G94" i="21" s="1"/>
  <c r="G89" i="21"/>
  <c r="G88" i="21" s="1"/>
  <c r="G87" i="21" s="1"/>
  <c r="G86" i="21" s="1"/>
  <c r="G85" i="21" s="1"/>
  <c r="G83" i="21"/>
  <c r="G82" i="21" s="1"/>
  <c r="G80" i="21"/>
  <c r="G78" i="21"/>
  <c r="G75" i="21"/>
  <c r="G74" i="21" s="1"/>
  <c r="G70" i="21"/>
  <c r="G68" i="21"/>
  <c r="G65" i="21"/>
  <c r="G64" i="21" s="1"/>
  <c r="G59" i="21"/>
  <c r="G58" i="21" s="1"/>
  <c r="G57" i="21" s="1"/>
  <c r="G56" i="21" s="1"/>
  <c r="G55" i="21" s="1"/>
  <c r="G53" i="21"/>
  <c r="G52" i="21" s="1"/>
  <c r="G50" i="21"/>
  <c r="G49" i="21" s="1"/>
  <c r="G47" i="21"/>
  <c r="G45" i="21"/>
  <c r="G42" i="21"/>
  <c r="G41" i="21" s="1"/>
  <c r="G37" i="21"/>
  <c r="G36" i="21" s="1"/>
  <c r="G35" i="21" s="1"/>
  <c r="G34" i="21" s="1"/>
  <c r="G33" i="21" s="1"/>
  <c r="G30" i="21"/>
  <c r="G28" i="21"/>
  <c r="G25" i="21"/>
  <c r="G24" i="21" s="1"/>
  <c r="G19" i="21"/>
  <c r="G18" i="21" s="1"/>
  <c r="G16" i="21"/>
  <c r="G15" i="21" s="1"/>
  <c r="G14" i="21" s="1"/>
  <c r="G13" i="21" s="1"/>
  <c r="G12" i="21" s="1"/>
  <c r="I186" i="20"/>
  <c r="I185" i="20" s="1"/>
  <c r="I184" i="20" s="1"/>
  <c r="I183" i="20" s="1"/>
  <c r="I182" i="20" s="1"/>
  <c r="I180" i="20"/>
  <c r="I179" i="20" s="1"/>
  <c r="I178" i="20" s="1"/>
  <c r="I176" i="20"/>
  <c r="I175" i="20" s="1"/>
  <c r="I173" i="20"/>
  <c r="I172" i="20" s="1"/>
  <c r="I170" i="20"/>
  <c r="I169" i="20" s="1"/>
  <c r="I168" i="20"/>
  <c r="I167" i="20" s="1"/>
  <c r="I166" i="20" s="1"/>
  <c r="I162" i="20"/>
  <c r="I161" i="20" s="1"/>
  <c r="I160" i="20" s="1"/>
  <c r="I159" i="20" s="1"/>
  <c r="I158" i="20" s="1"/>
  <c r="I157" i="20" s="1"/>
  <c r="I154" i="20"/>
  <c r="I153" i="20" s="1"/>
  <c r="I152" i="20" s="1"/>
  <c r="I151" i="20" s="1"/>
  <c r="I149" i="20"/>
  <c r="I148" i="20" s="1"/>
  <c r="I146" i="20"/>
  <c r="I145" i="20" s="1"/>
  <c r="I143" i="20"/>
  <c r="I142" i="20" s="1"/>
  <c r="I140" i="20"/>
  <c r="I139" i="20" s="1"/>
  <c r="I137" i="20"/>
  <c r="I136" i="20" s="1"/>
  <c r="I134" i="20"/>
  <c r="I133" i="20" s="1"/>
  <c r="I131" i="20"/>
  <c r="I130" i="20" s="1"/>
  <c r="I128" i="20"/>
  <c r="I127" i="20" s="1"/>
  <c r="I125" i="20"/>
  <c r="I124" i="20" s="1"/>
  <c r="I121" i="20"/>
  <c r="I120" i="20" s="1"/>
  <c r="I119" i="20" s="1"/>
  <c r="I118" i="20" s="1"/>
  <c r="I117" i="20" s="1"/>
  <c r="I116" i="20" s="1"/>
  <c r="I113" i="20"/>
  <c r="I112" i="20"/>
  <c r="I111" i="20" s="1"/>
  <c r="I110" i="20"/>
  <c r="I109" i="20" s="1"/>
  <c r="I105" i="20"/>
  <c r="I104" i="20" s="1"/>
  <c r="I98" i="20"/>
  <c r="I97" i="20" s="1"/>
  <c r="I96" i="20" s="1"/>
  <c r="I95" i="20" s="1"/>
  <c r="I93" i="20"/>
  <c r="I92" i="20" s="1"/>
  <c r="I90" i="20"/>
  <c r="I89" i="20" s="1"/>
  <c r="I87" i="20"/>
  <c r="I86" i="20" s="1"/>
  <c r="I85" i="20" s="1"/>
  <c r="I84" i="20"/>
  <c r="I83" i="20" s="1"/>
  <c r="I82" i="20" s="1"/>
  <c r="I80" i="20"/>
  <c r="I79" i="20" s="1"/>
  <c r="I77" i="20"/>
  <c r="I76" i="20" s="1"/>
  <c r="I74" i="20"/>
  <c r="I73" i="20" s="1"/>
  <c r="I71" i="20"/>
  <c r="I70" i="20" s="1"/>
  <c r="I68" i="20"/>
  <c r="I67" i="20" s="1"/>
  <c r="I63" i="20"/>
  <c r="I62" i="20" s="1"/>
  <c r="I60" i="20"/>
  <c r="I59" i="20" s="1"/>
  <c r="I58" i="20" s="1"/>
  <c r="I56" i="20"/>
  <c r="I55" i="20" s="1"/>
  <c r="I53" i="20"/>
  <c r="I52" i="20"/>
  <c r="I51" i="20" s="1"/>
  <c r="I50" i="20"/>
  <c r="I49" i="20" s="1"/>
  <c r="I46" i="20"/>
  <c r="I45" i="20"/>
  <c r="I44" i="20" s="1"/>
  <c r="I43" i="20"/>
  <c r="I42" i="20" s="1"/>
  <c r="I36" i="20"/>
  <c r="I35" i="20" s="1"/>
  <c r="I34" i="20" s="1"/>
  <c r="I33" i="20" s="1"/>
  <c r="I32" i="20" s="1"/>
  <c r="I31" i="20" s="1"/>
  <c r="I29" i="20"/>
  <c r="I28" i="20" s="1"/>
  <c r="I27" i="20"/>
  <c r="I26" i="20" s="1"/>
  <c r="I23" i="20" s="1"/>
  <c r="I19" i="20" s="1"/>
  <c r="I18" i="20" s="1"/>
  <c r="I17" i="20" s="1"/>
  <c r="I22" i="20"/>
  <c r="H186" i="20"/>
  <c r="H185" i="20" s="1"/>
  <c r="H184" i="20" s="1"/>
  <c r="H183" i="20" s="1"/>
  <c r="H182" i="20" s="1"/>
  <c r="H180" i="20"/>
  <c r="H179" i="20" s="1"/>
  <c r="H178" i="20" s="1"/>
  <c r="H176" i="20"/>
  <c r="H175" i="20" s="1"/>
  <c r="H173" i="20"/>
  <c r="H172" i="20" s="1"/>
  <c r="H170" i="20"/>
  <c r="H169" i="20" s="1"/>
  <c r="H167" i="20"/>
  <c r="H166" i="20" s="1"/>
  <c r="H161" i="20"/>
  <c r="H160" i="20" s="1"/>
  <c r="H159" i="20" s="1"/>
  <c r="H158" i="20" s="1"/>
  <c r="H157" i="20" s="1"/>
  <c r="H154" i="20"/>
  <c r="H153" i="20" s="1"/>
  <c r="H152" i="20" s="1"/>
  <c r="H151" i="20" s="1"/>
  <c r="H149" i="20"/>
  <c r="H148" i="20" s="1"/>
  <c r="H146" i="20"/>
  <c r="H145" i="20" s="1"/>
  <c r="H143" i="20"/>
  <c r="H142" i="20" s="1"/>
  <c r="H140" i="20"/>
  <c r="H139" i="20" s="1"/>
  <c r="H137" i="20"/>
  <c r="H136" i="20" s="1"/>
  <c r="H134" i="20"/>
  <c r="H133" i="20" s="1"/>
  <c r="H131" i="20"/>
  <c r="H130" i="20" s="1"/>
  <c r="H128" i="20"/>
  <c r="H127" i="20" s="1"/>
  <c r="H125" i="20"/>
  <c r="H124" i="20" s="1"/>
  <c r="H120" i="20"/>
  <c r="H119" i="20" s="1"/>
  <c r="H118" i="20" s="1"/>
  <c r="H117" i="20" s="1"/>
  <c r="H116" i="20" s="1"/>
  <c r="H113" i="20"/>
  <c r="H111" i="20"/>
  <c r="H109" i="20"/>
  <c r="H105" i="20"/>
  <c r="H104" i="20" s="1"/>
  <c r="H98" i="20"/>
  <c r="H97" i="20" s="1"/>
  <c r="H96" i="20" s="1"/>
  <c r="H95" i="20" s="1"/>
  <c r="H93" i="20"/>
  <c r="H92" i="20" s="1"/>
  <c r="H90" i="20"/>
  <c r="H89" i="20" s="1"/>
  <c r="H86" i="20"/>
  <c r="H85" i="20" s="1"/>
  <c r="H83" i="20"/>
  <c r="H82" i="20" s="1"/>
  <c r="H80" i="20"/>
  <c r="H79" i="20" s="1"/>
  <c r="H77" i="20"/>
  <c r="H76" i="20" s="1"/>
  <c r="H74" i="20"/>
  <c r="H73" i="20" s="1"/>
  <c r="H71" i="20"/>
  <c r="H70" i="20" s="1"/>
  <c r="H68" i="20"/>
  <c r="H67" i="20" s="1"/>
  <c r="H63" i="20"/>
  <c r="H62" i="20" s="1"/>
  <c r="H59" i="20"/>
  <c r="H58" i="20" s="1"/>
  <c r="H56" i="20"/>
  <c r="H55" i="20" s="1"/>
  <c r="H53" i="20"/>
  <c r="H51" i="20"/>
  <c r="H49" i="20"/>
  <c r="H46" i="20"/>
  <c r="H44" i="20"/>
  <c r="H42" i="20"/>
  <c r="H35" i="20"/>
  <c r="H34" i="20" s="1"/>
  <c r="H33" i="20" s="1"/>
  <c r="H32" i="20" s="1"/>
  <c r="H31" i="20" s="1"/>
  <c r="H26" i="20"/>
  <c r="H23" i="20" s="1"/>
  <c r="H19" i="20" s="1"/>
  <c r="H18" i="20" s="1"/>
  <c r="H17" i="20" s="1"/>
  <c r="I232" i="20"/>
  <c r="I231" i="20" s="1"/>
  <c r="I230" i="20" s="1"/>
  <c r="I229" i="20" s="1"/>
  <c r="I228" i="20" s="1"/>
  <c r="I227" i="20" s="1"/>
  <c r="I226" i="20" s="1"/>
  <c r="I224" i="20"/>
  <c r="I223" i="20" s="1"/>
  <c r="I222" i="20" s="1"/>
  <c r="I221" i="20" s="1"/>
  <c r="I220" i="20" s="1"/>
  <c r="I219" i="20" s="1"/>
  <c r="I217" i="20"/>
  <c r="I216" i="20" s="1"/>
  <c r="I215" i="20" s="1"/>
  <c r="I214" i="20" s="1"/>
  <c r="I213" i="20" s="1"/>
  <c r="I211" i="20"/>
  <c r="I210" i="20" s="1"/>
  <c r="I209" i="20" s="1"/>
  <c r="I208" i="20" s="1"/>
  <c r="I207" i="20" s="1"/>
  <c r="I205" i="20"/>
  <c r="I204" i="20" s="1"/>
  <c r="I202" i="20"/>
  <c r="I201" i="20" s="1"/>
  <c r="I199" i="20"/>
  <c r="I198" i="20"/>
  <c r="I197" i="20" s="1"/>
  <c r="I195" i="20"/>
  <c r="I194" i="20" s="1"/>
  <c r="I193" i="20" s="1"/>
  <c r="H231" i="20"/>
  <c r="H230" i="20" s="1"/>
  <c r="H229" i="20" s="1"/>
  <c r="H228" i="20" s="1"/>
  <c r="H227" i="20" s="1"/>
  <c r="H226" i="20" s="1"/>
  <c r="H224" i="20"/>
  <c r="H223" i="20" s="1"/>
  <c r="H222" i="20" s="1"/>
  <c r="H221" i="20" s="1"/>
  <c r="H220" i="20" s="1"/>
  <c r="H219" i="20" s="1"/>
  <c r="H217" i="20"/>
  <c r="H216" i="20" s="1"/>
  <c r="H215" i="20" s="1"/>
  <c r="H214" i="20" s="1"/>
  <c r="H213" i="20" s="1"/>
  <c r="H211" i="20"/>
  <c r="H210" i="20" s="1"/>
  <c r="H209" i="20" s="1"/>
  <c r="H208" i="20" s="1"/>
  <c r="H207" i="20" s="1"/>
  <c r="H205" i="20"/>
  <c r="H204" i="20" s="1"/>
  <c r="H202" i="20"/>
  <c r="H201" i="20" s="1"/>
  <c r="H199" i="20"/>
  <c r="H197" i="20"/>
  <c r="H194" i="20"/>
  <c r="H193" i="20" s="1"/>
  <c r="I274" i="20"/>
  <c r="I273" i="20" s="1"/>
  <c r="I272" i="20" s="1"/>
  <c r="I271" i="20" s="1"/>
  <c r="I270" i="20" s="1"/>
  <c r="I269" i="20" s="1"/>
  <c r="I268" i="20" s="1"/>
  <c r="I266" i="20"/>
  <c r="I265" i="20" s="1"/>
  <c r="I264" i="20" s="1"/>
  <c r="I263" i="20" s="1"/>
  <c r="I262" i="20" s="1"/>
  <c r="I261" i="20" s="1"/>
  <c r="I259" i="20"/>
  <c r="I258" i="20" s="1"/>
  <c r="I257" i="20" s="1"/>
  <c r="I256" i="20" s="1"/>
  <c r="I255" i="20" s="1"/>
  <c r="I253" i="20"/>
  <c r="I252" i="20" s="1"/>
  <c r="I251" i="20" s="1"/>
  <c r="I250" i="20" s="1"/>
  <c r="I249" i="20" s="1"/>
  <c r="I247" i="20"/>
  <c r="I246" i="20" s="1"/>
  <c r="I244" i="20"/>
  <c r="I243" i="20"/>
  <c r="I242" i="20" s="1"/>
  <c r="I240" i="20"/>
  <c r="I239" i="20" s="1"/>
  <c r="I238" i="20" s="1"/>
  <c r="H273" i="20"/>
  <c r="H272" i="20" s="1"/>
  <c r="H271" i="20" s="1"/>
  <c r="H270" i="20" s="1"/>
  <c r="H269" i="20" s="1"/>
  <c r="H268" i="20" s="1"/>
  <c r="H266" i="20"/>
  <c r="H265" i="20" s="1"/>
  <c r="H264" i="20" s="1"/>
  <c r="H263" i="20" s="1"/>
  <c r="H262" i="20" s="1"/>
  <c r="H261" i="20" s="1"/>
  <c r="H259" i="20"/>
  <c r="H258" i="20" s="1"/>
  <c r="H257" i="20" s="1"/>
  <c r="H256" i="20" s="1"/>
  <c r="H255" i="20" s="1"/>
  <c r="H253" i="20"/>
  <c r="H252" i="20" s="1"/>
  <c r="H251" i="20" s="1"/>
  <c r="H250" i="20" s="1"/>
  <c r="H249" i="20" s="1"/>
  <c r="H247" i="20"/>
  <c r="H246" i="20" s="1"/>
  <c r="H244" i="20"/>
  <c r="H242" i="20"/>
  <c r="H239" i="20"/>
  <c r="H238" i="20" s="1"/>
  <c r="I310" i="20"/>
  <c r="I309" i="20" s="1"/>
  <c r="I308" i="20" s="1"/>
  <c r="I307" i="20" s="1"/>
  <c r="I305" i="20"/>
  <c r="I304" i="20"/>
  <c r="I303" i="20" s="1"/>
  <c r="I301" i="20"/>
  <c r="I300" i="20" s="1"/>
  <c r="I299" i="20" s="1"/>
  <c r="I298" i="20" s="1"/>
  <c r="I294" i="20"/>
  <c r="I293" i="20" s="1"/>
  <c r="I292" i="20" s="1"/>
  <c r="I291" i="20" s="1"/>
  <c r="I290" i="20" s="1"/>
  <c r="I289" i="20"/>
  <c r="I288" i="20" s="1"/>
  <c r="I287" i="20" s="1"/>
  <c r="I286" i="20" s="1"/>
  <c r="I282" i="20"/>
  <c r="I281" i="20" s="1"/>
  <c r="I280" i="20" s="1"/>
  <c r="I279" i="20" s="1"/>
  <c r="I278" i="20" s="1"/>
  <c r="I277" i="20" s="1"/>
  <c r="I276" i="20" s="1"/>
  <c r="H310" i="20"/>
  <c r="H309" i="20" s="1"/>
  <c r="H308" i="20" s="1"/>
  <c r="H307" i="20" s="1"/>
  <c r="H305" i="20"/>
  <c r="H303" i="20"/>
  <c r="H300" i="20"/>
  <c r="H299" i="20" s="1"/>
  <c r="H298" i="20" s="1"/>
  <c r="H293" i="20"/>
  <c r="H292" i="20" s="1"/>
  <c r="H291" i="20" s="1"/>
  <c r="H290" i="20" s="1"/>
  <c r="H288" i="20"/>
  <c r="H287" i="20" s="1"/>
  <c r="H286" i="20" s="1"/>
  <c r="H281" i="20"/>
  <c r="H280" i="20" s="1"/>
  <c r="H279" i="20" s="1"/>
  <c r="H278" i="20" s="1"/>
  <c r="H277" i="20" s="1"/>
  <c r="H276" i="20" s="1"/>
  <c r="I384" i="20"/>
  <c r="I383" i="20" s="1"/>
  <c r="I382" i="20" s="1"/>
  <c r="I380" i="20"/>
  <c r="I379" i="20"/>
  <c r="I378" i="20" s="1"/>
  <c r="I377" i="20"/>
  <c r="I376" i="20" s="1"/>
  <c r="I371" i="20"/>
  <c r="I370" i="20" s="1"/>
  <c r="I368" i="20"/>
  <c r="I367" i="20" s="1"/>
  <c r="I365" i="20"/>
  <c r="I364" i="20" s="1"/>
  <c r="I362" i="20"/>
  <c r="I361" i="20" s="1"/>
  <c r="I356" i="20"/>
  <c r="I355" i="20" s="1"/>
  <c r="I354" i="20"/>
  <c r="I353" i="20" s="1"/>
  <c r="I352" i="20" s="1"/>
  <c r="I347" i="20"/>
  <c r="I346" i="20" s="1"/>
  <c r="I345" i="20" s="1"/>
  <c r="I344" i="20" s="1"/>
  <c r="I343" i="20"/>
  <c r="I342" i="20" s="1"/>
  <c r="I341" i="20" s="1"/>
  <c r="I340" i="20" s="1"/>
  <c r="I338" i="20"/>
  <c r="I336" i="20"/>
  <c r="I333" i="20"/>
  <c r="I332" i="20" s="1"/>
  <c r="I326" i="20"/>
  <c r="I325" i="20" s="1"/>
  <c r="I324" i="20" s="1"/>
  <c r="I323" i="20" s="1"/>
  <c r="I321" i="20"/>
  <c r="I320" i="20" s="1"/>
  <c r="I318" i="20"/>
  <c r="I317" i="20" s="1"/>
  <c r="H383" i="20"/>
  <c r="H382" i="20" s="1"/>
  <c r="H380" i="20"/>
  <c r="H378" i="20"/>
  <c r="H376" i="20"/>
  <c r="H371" i="20"/>
  <c r="H370" i="20" s="1"/>
  <c r="H368" i="20"/>
  <c r="H367" i="20" s="1"/>
  <c r="H365" i="20"/>
  <c r="H364" i="20" s="1"/>
  <c r="H362" i="20"/>
  <c r="H361" i="20" s="1"/>
  <c r="H356" i="20"/>
  <c r="H355" i="20" s="1"/>
  <c r="H353" i="20"/>
  <c r="H352" i="20" s="1"/>
  <c r="H347" i="20"/>
  <c r="H346" i="20" s="1"/>
  <c r="H345" i="20" s="1"/>
  <c r="H344" i="20" s="1"/>
  <c r="H342" i="20"/>
  <c r="H341" i="20" s="1"/>
  <c r="H340" i="20" s="1"/>
  <c r="H338" i="20"/>
  <c r="H336" i="20"/>
  <c r="H333" i="20"/>
  <c r="H332" i="20" s="1"/>
  <c r="H326" i="20"/>
  <c r="H325" i="20" s="1"/>
  <c r="H324" i="20" s="1"/>
  <c r="H323" i="20" s="1"/>
  <c r="H321" i="20"/>
  <c r="H320" i="20" s="1"/>
  <c r="H318" i="20"/>
  <c r="H317" i="20" s="1"/>
  <c r="I543" i="20"/>
  <c r="I542" i="20" s="1"/>
  <c r="I540" i="20"/>
  <c r="I539" i="20" s="1"/>
  <c r="I534" i="20"/>
  <c r="I533" i="20" s="1"/>
  <c r="I532" i="20" s="1"/>
  <c r="I531" i="20" s="1"/>
  <c r="I530" i="20"/>
  <c r="I529" i="20" s="1"/>
  <c r="I528" i="20"/>
  <c r="I527" i="20" s="1"/>
  <c r="I525" i="20"/>
  <c r="I524" i="20" s="1"/>
  <c r="I523" i="20" s="1"/>
  <c r="I517" i="20"/>
  <c r="I516" i="20" s="1"/>
  <c r="I515" i="20" s="1"/>
  <c r="I514" i="20" s="1"/>
  <c r="I512" i="20"/>
  <c r="I511" i="20" s="1"/>
  <c r="I510" i="20"/>
  <c r="I509" i="20" s="1"/>
  <c r="I508" i="20" s="1"/>
  <c r="I505" i="20"/>
  <c r="I504" i="20" s="1"/>
  <c r="I502" i="20"/>
  <c r="I501" i="20" s="1"/>
  <c r="I500" i="20"/>
  <c r="I499" i="20" s="1"/>
  <c r="I498" i="20" s="1"/>
  <c r="I496" i="20"/>
  <c r="I495" i="20" s="1"/>
  <c r="I493" i="20"/>
  <c r="I492" i="20" s="1"/>
  <c r="I491" i="20"/>
  <c r="I490" i="20" s="1"/>
  <c r="I489" i="20" s="1"/>
  <c r="I487" i="20"/>
  <c r="I486" i="20" s="1"/>
  <c r="I484" i="20"/>
  <c r="I483" i="20" s="1"/>
  <c r="I481" i="20"/>
  <c r="I480" i="20" s="1"/>
  <c r="I478" i="20"/>
  <c r="I477" i="20" s="1"/>
  <c r="I472" i="20"/>
  <c r="I470" i="20"/>
  <c r="I468" i="20"/>
  <c r="H543" i="20"/>
  <c r="H542" i="20" s="1"/>
  <c r="H540" i="20"/>
  <c r="H539" i="20" s="1"/>
  <c r="H534" i="20"/>
  <c r="H533" i="20" s="1"/>
  <c r="H532" i="20" s="1"/>
  <c r="H531" i="20" s="1"/>
  <c r="H529" i="20"/>
  <c r="H527" i="20"/>
  <c r="H524" i="20"/>
  <c r="H523" i="20" s="1"/>
  <c r="H517" i="20"/>
  <c r="H516" i="20" s="1"/>
  <c r="H515" i="20" s="1"/>
  <c r="H514" i="20" s="1"/>
  <c r="H512" i="20"/>
  <c r="H511" i="20" s="1"/>
  <c r="H509" i="20"/>
  <c r="H508" i="20" s="1"/>
  <c r="H505" i="20"/>
  <c r="H504" i="20" s="1"/>
  <c r="H502" i="20"/>
  <c r="H501" i="20" s="1"/>
  <c r="H499" i="20"/>
  <c r="H498" i="20" s="1"/>
  <c r="H496" i="20"/>
  <c r="H495" i="20" s="1"/>
  <c r="H493" i="20"/>
  <c r="H492" i="20" s="1"/>
  <c r="H490" i="20"/>
  <c r="H489" i="20" s="1"/>
  <c r="H487" i="20"/>
  <c r="H486" i="20" s="1"/>
  <c r="H484" i="20"/>
  <c r="H483" i="20" s="1"/>
  <c r="H481" i="20"/>
  <c r="H480" i="20" s="1"/>
  <c r="H478" i="20"/>
  <c r="H477" i="20" s="1"/>
  <c r="H472" i="20"/>
  <c r="H470" i="20"/>
  <c r="H468" i="20"/>
  <c r="I652" i="20"/>
  <c r="I651" i="20" s="1"/>
  <c r="I650" i="20" s="1"/>
  <c r="I649" i="20" s="1"/>
  <c r="I648" i="20" s="1"/>
  <c r="I646" i="20"/>
  <c r="I645" i="20" s="1"/>
  <c r="I644" i="20"/>
  <c r="I643" i="20" s="1"/>
  <c r="I642" i="20" s="1"/>
  <c r="I640" i="20"/>
  <c r="I639" i="20" s="1"/>
  <c r="I631" i="20"/>
  <c r="I630" i="20" s="1"/>
  <c r="I628" i="20"/>
  <c r="I627" i="20" s="1"/>
  <c r="I625" i="20"/>
  <c r="I624" i="20" s="1"/>
  <c r="I621" i="20"/>
  <c r="I620" i="20" s="1"/>
  <c r="I619" i="20" s="1"/>
  <c r="I618" i="20" s="1"/>
  <c r="I617" i="20" s="1"/>
  <c r="I614" i="20"/>
  <c r="I613" i="20" s="1"/>
  <c r="I611" i="20"/>
  <c r="I610" i="20" s="1"/>
  <c r="I609" i="20"/>
  <c r="I608" i="20" s="1"/>
  <c r="I606" i="20"/>
  <c r="I603" i="20"/>
  <c r="I602" i="20" s="1"/>
  <c r="I597" i="20"/>
  <c r="I596" i="20" s="1"/>
  <c r="I595" i="20" s="1"/>
  <c r="I593" i="20"/>
  <c r="I592" i="20" s="1"/>
  <c r="I591" i="20"/>
  <c r="I590" i="20" s="1"/>
  <c r="I589" i="20" s="1"/>
  <c r="I582" i="20"/>
  <c r="I581" i="20" s="1"/>
  <c r="I579" i="20"/>
  <c r="I578" i="20" s="1"/>
  <c r="I576" i="20"/>
  <c r="I575" i="20" s="1"/>
  <c r="I573" i="20"/>
  <c r="I572" i="20" s="1"/>
  <c r="I568" i="20"/>
  <c r="I567" i="20" s="1"/>
  <c r="I565" i="20"/>
  <c r="I564" i="20" s="1"/>
  <c r="I559" i="20"/>
  <c r="I558" i="20" s="1"/>
  <c r="I556" i="20"/>
  <c r="I555" i="20" s="1"/>
  <c r="I550" i="20"/>
  <c r="I549" i="20" s="1"/>
  <c r="I548" i="20" s="1"/>
  <c r="I547" i="20" s="1"/>
  <c r="I546" i="20" s="1"/>
  <c r="H652" i="20"/>
  <c r="H651" i="20" s="1"/>
  <c r="H650" i="20" s="1"/>
  <c r="H649" i="20" s="1"/>
  <c r="H648" i="20" s="1"/>
  <c r="H646" i="20"/>
  <c r="H645" i="20" s="1"/>
  <c r="H643" i="20"/>
  <c r="H642" i="20" s="1"/>
  <c r="H640" i="20"/>
  <c r="H639" i="20" s="1"/>
  <c r="H631" i="20"/>
  <c r="H630" i="20" s="1"/>
  <c r="H628" i="20"/>
  <c r="H627" i="20" s="1"/>
  <c r="H625" i="20"/>
  <c r="H624" i="20" s="1"/>
  <c r="H620" i="20"/>
  <c r="H619" i="20" s="1"/>
  <c r="H618" i="20" s="1"/>
  <c r="H617" i="20" s="1"/>
  <c r="H614" i="20"/>
  <c r="H613" i="20" s="1"/>
  <c r="H611" i="20"/>
  <c r="H610" i="20" s="1"/>
  <c r="H608" i="20"/>
  <c r="H606" i="20"/>
  <c r="H603" i="20"/>
  <c r="H602" i="20" s="1"/>
  <c r="H596" i="20"/>
  <c r="H595" i="20" s="1"/>
  <c r="H593" i="20"/>
  <c r="H592" i="20" s="1"/>
  <c r="H590" i="20"/>
  <c r="H589" i="20" s="1"/>
  <c r="H582" i="20"/>
  <c r="H581" i="20" s="1"/>
  <c r="H579" i="20"/>
  <c r="H578" i="20" s="1"/>
  <c r="H576" i="20"/>
  <c r="H575" i="20" s="1"/>
  <c r="H573" i="20"/>
  <c r="H572" i="20" s="1"/>
  <c r="H568" i="20"/>
  <c r="H567" i="20" s="1"/>
  <c r="H565" i="20"/>
  <c r="H564" i="20" s="1"/>
  <c r="H559" i="20"/>
  <c r="H558" i="20" s="1"/>
  <c r="H556" i="20"/>
  <c r="H555" i="20" s="1"/>
  <c r="H550" i="20"/>
  <c r="H549" i="20" s="1"/>
  <c r="H548" i="20" s="1"/>
  <c r="H547" i="20" s="1"/>
  <c r="H546" i="20" s="1"/>
  <c r="I695" i="20"/>
  <c r="I694" i="20" s="1"/>
  <c r="I693" i="20" s="1"/>
  <c r="I692" i="20" s="1"/>
  <c r="I691" i="20" s="1"/>
  <c r="I690" i="20" s="1"/>
  <c r="I689" i="20" s="1"/>
  <c r="I687" i="20"/>
  <c r="I686" i="20" s="1"/>
  <c r="I685" i="20" s="1"/>
  <c r="I684" i="20" s="1"/>
  <c r="I683" i="20" s="1"/>
  <c r="I682" i="20" s="1"/>
  <c r="I680" i="20"/>
  <c r="I679" i="20" s="1"/>
  <c r="I678" i="20" s="1"/>
  <c r="I677" i="20" s="1"/>
  <c r="I676" i="20" s="1"/>
  <c r="I674" i="20"/>
  <c r="I673" i="20" s="1"/>
  <c r="I672" i="20" s="1"/>
  <c r="I671" i="20" s="1"/>
  <c r="I670" i="20" s="1"/>
  <c r="I668" i="20"/>
  <c r="I667" i="20" s="1"/>
  <c r="I665" i="20"/>
  <c r="I664" i="20"/>
  <c r="I663" i="20" s="1"/>
  <c r="I661" i="20"/>
  <c r="I660" i="20" s="1"/>
  <c r="I659" i="20" s="1"/>
  <c r="H694" i="20"/>
  <c r="H693" i="20" s="1"/>
  <c r="H692" i="20" s="1"/>
  <c r="H691" i="20" s="1"/>
  <c r="H690" i="20" s="1"/>
  <c r="H689" i="20" s="1"/>
  <c r="H687" i="20"/>
  <c r="H686" i="20" s="1"/>
  <c r="H685" i="20" s="1"/>
  <c r="H684" i="20" s="1"/>
  <c r="H683" i="20" s="1"/>
  <c r="H682" i="20" s="1"/>
  <c r="H680" i="20"/>
  <c r="H679" i="20" s="1"/>
  <c r="H678" i="20" s="1"/>
  <c r="H677" i="20" s="1"/>
  <c r="H676" i="20" s="1"/>
  <c r="H674" i="20"/>
  <c r="H673" i="20" s="1"/>
  <c r="H672" i="20" s="1"/>
  <c r="H671" i="20" s="1"/>
  <c r="H670" i="20" s="1"/>
  <c r="H668" i="20"/>
  <c r="H667" i="20" s="1"/>
  <c r="H665" i="20"/>
  <c r="H663" i="20"/>
  <c r="H660" i="20"/>
  <c r="H659" i="20" s="1"/>
  <c r="I737" i="20"/>
  <c r="I736" i="20" s="1"/>
  <c r="I735" i="20" s="1"/>
  <c r="I734" i="20" s="1"/>
  <c r="I733" i="20" s="1"/>
  <c r="I732" i="20" s="1"/>
  <c r="I731" i="20" s="1"/>
  <c r="I729" i="20"/>
  <c r="I728" i="20" s="1"/>
  <c r="I727" i="20" s="1"/>
  <c r="I726" i="20" s="1"/>
  <c r="I725" i="20" s="1"/>
  <c r="I724" i="20" s="1"/>
  <c r="I722" i="20"/>
  <c r="I721" i="20" s="1"/>
  <c r="I720" i="20" s="1"/>
  <c r="I719" i="20" s="1"/>
  <c r="I718" i="20" s="1"/>
  <c r="I716" i="20"/>
  <c r="I715" i="20" s="1"/>
  <c r="I714" i="20" s="1"/>
  <c r="I713" i="20" s="1"/>
  <c r="I712" i="20" s="1"/>
  <c r="I710" i="20"/>
  <c r="I709" i="20" s="1"/>
  <c r="I707" i="20"/>
  <c r="I706" i="20"/>
  <c r="I705" i="20" s="1"/>
  <c r="I703" i="20"/>
  <c r="I702" i="20" s="1"/>
  <c r="I701" i="20" s="1"/>
  <c r="H736" i="20"/>
  <c r="H735" i="20" s="1"/>
  <c r="H734" i="20" s="1"/>
  <c r="H733" i="20" s="1"/>
  <c r="H732" i="20" s="1"/>
  <c r="H731" i="20" s="1"/>
  <c r="H729" i="20"/>
  <c r="H728" i="20" s="1"/>
  <c r="H727" i="20" s="1"/>
  <c r="H726" i="20" s="1"/>
  <c r="H725" i="20" s="1"/>
  <c r="H724" i="20" s="1"/>
  <c r="H722" i="20"/>
  <c r="H721" i="20" s="1"/>
  <c r="H720" i="20" s="1"/>
  <c r="H719" i="20" s="1"/>
  <c r="H718" i="20" s="1"/>
  <c r="H716" i="20"/>
  <c r="H715" i="20" s="1"/>
  <c r="H714" i="20" s="1"/>
  <c r="H713" i="20" s="1"/>
  <c r="H712" i="20" s="1"/>
  <c r="H710" i="20"/>
  <c r="H709" i="20" s="1"/>
  <c r="H707" i="20"/>
  <c r="H705" i="20"/>
  <c r="H702" i="20"/>
  <c r="H701" i="20" s="1"/>
  <c r="I850" i="20"/>
  <c r="I849" i="20" s="1"/>
  <c r="I848" i="20" s="1"/>
  <c r="I847" i="20" s="1"/>
  <c r="I845" i="20"/>
  <c r="I843" i="20"/>
  <c r="I841" i="20"/>
  <c r="I837" i="20"/>
  <c r="I835" i="20"/>
  <c r="I832" i="20"/>
  <c r="I831" i="20" s="1"/>
  <c r="I824" i="20"/>
  <c r="I823" i="20" s="1"/>
  <c r="I821" i="20"/>
  <c r="I820" i="20" s="1"/>
  <c r="I818" i="20"/>
  <c r="I817" i="20" s="1"/>
  <c r="I812" i="20"/>
  <c r="I811" i="20" s="1"/>
  <c r="I810" i="20" s="1"/>
  <c r="I808" i="20"/>
  <c r="I807" i="20" s="1"/>
  <c r="I806" i="20" s="1"/>
  <c r="I804" i="20"/>
  <c r="I802" i="20"/>
  <c r="I798" i="20"/>
  <c r="I797" i="20" s="1"/>
  <c r="I795" i="20"/>
  <c r="I793" i="20"/>
  <c r="I787" i="20"/>
  <c r="I786" i="20" s="1"/>
  <c r="I784" i="20"/>
  <c r="I783" i="20" s="1"/>
  <c r="I782" i="20"/>
  <c r="I781" i="20" s="1"/>
  <c r="I780" i="20" s="1"/>
  <c r="I778" i="20"/>
  <c r="I777" i="20" s="1"/>
  <c r="I776" i="20"/>
  <c r="I775" i="20" s="1"/>
  <c r="I774" i="20" s="1"/>
  <c r="I771" i="20"/>
  <c r="I770" i="20" s="1"/>
  <c r="I768" i="20"/>
  <c r="I767" i="20" s="1"/>
  <c r="I765" i="20"/>
  <c r="I764" i="20" s="1"/>
  <c r="I761" i="20"/>
  <c r="I760" i="20" s="1"/>
  <c r="I758" i="20"/>
  <c r="I757" i="20" s="1"/>
  <c r="I751" i="20"/>
  <c r="I750" i="20" s="1"/>
  <c r="I749" i="20" s="1"/>
  <c r="I748" i="20" s="1"/>
  <c r="I747" i="20" s="1"/>
  <c r="I746" i="20" s="1"/>
  <c r="I743" i="20"/>
  <c r="I742" i="20" s="1"/>
  <c r="I741" i="20" s="1"/>
  <c r="I740" i="20" s="1"/>
  <c r="I739" i="20" s="1"/>
  <c r="H850" i="20"/>
  <c r="H849" i="20" s="1"/>
  <c r="H848" i="20" s="1"/>
  <c r="H847" i="20" s="1"/>
  <c r="H845" i="20"/>
  <c r="H843" i="20"/>
  <c r="H841" i="20"/>
  <c r="H837" i="20"/>
  <c r="H835" i="20"/>
  <c r="H832" i="20"/>
  <c r="H831" i="20" s="1"/>
  <c r="H824" i="20"/>
  <c r="H823" i="20" s="1"/>
  <c r="H821" i="20"/>
  <c r="H820" i="20" s="1"/>
  <c r="H818" i="20"/>
  <c r="H817" i="20" s="1"/>
  <c r="H812" i="20"/>
  <c r="H811" i="20" s="1"/>
  <c r="H810" i="20" s="1"/>
  <c r="H808" i="20"/>
  <c r="H807" i="20" s="1"/>
  <c r="H806" i="20" s="1"/>
  <c r="H804" i="20"/>
  <c r="H802" i="20"/>
  <c r="H798" i="20"/>
  <c r="H797" i="20" s="1"/>
  <c r="H795" i="20"/>
  <c r="H793" i="20"/>
  <c r="H787" i="20"/>
  <c r="H786" i="20" s="1"/>
  <c r="H784" i="20"/>
  <c r="H783" i="20" s="1"/>
  <c r="H781" i="20"/>
  <c r="H780" i="20" s="1"/>
  <c r="H778" i="20"/>
  <c r="H777" i="20" s="1"/>
  <c r="H775" i="20"/>
  <c r="H774" i="20" s="1"/>
  <c r="H771" i="20"/>
  <c r="H770" i="20" s="1"/>
  <c r="H768" i="20"/>
  <c r="H767" i="20" s="1"/>
  <c r="H765" i="20"/>
  <c r="H764" i="20" s="1"/>
  <c r="H761" i="20"/>
  <c r="H760" i="20" s="1"/>
  <c r="H759" i="20"/>
  <c r="H758" i="20" s="1"/>
  <c r="H757" i="20" s="1"/>
  <c r="H751" i="20"/>
  <c r="H750" i="20" s="1"/>
  <c r="H749" i="20" s="1"/>
  <c r="H748" i="20" s="1"/>
  <c r="H747" i="20" s="1"/>
  <c r="H746" i="20" s="1"/>
  <c r="H743" i="20"/>
  <c r="H742" i="20" s="1"/>
  <c r="H741" i="20" s="1"/>
  <c r="H740" i="20" s="1"/>
  <c r="H739" i="20" s="1"/>
  <c r="I878" i="20"/>
  <c r="I877" i="20" s="1"/>
  <c r="I876" i="20" s="1"/>
  <c r="I875" i="20" s="1"/>
  <c r="I874" i="20" s="1"/>
  <c r="I872" i="20"/>
  <c r="I871" i="20" s="1"/>
  <c r="I870" i="20" s="1"/>
  <c r="I869" i="20" s="1"/>
  <c r="I868" i="20" s="1"/>
  <c r="I866" i="20"/>
  <c r="I865" i="20" s="1"/>
  <c r="I863" i="20"/>
  <c r="I862" i="20"/>
  <c r="I861" i="20" s="1"/>
  <c r="I859" i="20"/>
  <c r="I858" i="20" s="1"/>
  <c r="I857" i="20" s="1"/>
  <c r="H878" i="20"/>
  <c r="H877" i="20" s="1"/>
  <c r="H876" i="20" s="1"/>
  <c r="H875" i="20" s="1"/>
  <c r="H874" i="20" s="1"/>
  <c r="H872" i="20"/>
  <c r="H871" i="20" s="1"/>
  <c r="H870" i="20" s="1"/>
  <c r="H869" i="20" s="1"/>
  <c r="H868" i="20" s="1"/>
  <c r="H866" i="20"/>
  <c r="H865" i="20" s="1"/>
  <c r="H863" i="20"/>
  <c r="H861" i="20"/>
  <c r="H858" i="20"/>
  <c r="H857" i="20" s="1"/>
  <c r="I910" i="20"/>
  <c r="I909" i="20" s="1"/>
  <c r="I908" i="20" s="1"/>
  <c r="I907" i="20" s="1"/>
  <c r="I906" i="20" s="1"/>
  <c r="I905" i="20" s="1"/>
  <c r="I904" i="20"/>
  <c r="I903" i="20" s="1"/>
  <c r="I902" i="20" s="1"/>
  <c r="I900" i="20"/>
  <c r="I899" i="20" s="1"/>
  <c r="I894" i="20"/>
  <c r="I893" i="20" s="1"/>
  <c r="I891" i="20"/>
  <c r="I890" i="20"/>
  <c r="I889" i="20" s="1"/>
  <c r="I887" i="20"/>
  <c r="I886" i="20" s="1"/>
  <c r="I885" i="20" s="1"/>
  <c r="H910" i="20"/>
  <c r="H909" i="20" s="1"/>
  <c r="H908" i="20" s="1"/>
  <c r="H907" i="20" s="1"/>
  <c r="H906" i="20" s="1"/>
  <c r="H905" i="20" s="1"/>
  <c r="H903" i="20"/>
  <c r="H902" i="20" s="1"/>
  <c r="H900" i="20"/>
  <c r="H899" i="20" s="1"/>
  <c r="H894" i="20"/>
  <c r="H893" i="20" s="1"/>
  <c r="H891" i="20"/>
  <c r="H889" i="20"/>
  <c r="H886" i="20"/>
  <c r="H885" i="20" s="1"/>
  <c r="I1040" i="20"/>
  <c r="I1039" i="20" s="1"/>
  <c r="I1038" i="20" s="1"/>
  <c r="I1037" i="20" s="1"/>
  <c r="I1036" i="20" s="1"/>
  <c r="I1035" i="20" s="1"/>
  <c r="I1033" i="20"/>
  <c r="I1032" i="20" s="1"/>
  <c r="I1030" i="20"/>
  <c r="I1029" i="20" s="1"/>
  <c r="I1028" i="20" s="1"/>
  <c r="I1022" i="20"/>
  <c r="I1021" i="20" s="1"/>
  <c r="I1018" i="20"/>
  <c r="I1017" i="20" s="1"/>
  <c r="I1013" i="20"/>
  <c r="I1012" i="20"/>
  <c r="I1011" i="20" s="1"/>
  <c r="I1009" i="20"/>
  <c r="I1008" i="20" s="1"/>
  <c r="I1007" i="20" s="1"/>
  <c r="I1002" i="20"/>
  <c r="I1001" i="20"/>
  <c r="I1000" i="20" s="1"/>
  <c r="I998" i="20"/>
  <c r="I995" i="20"/>
  <c r="I993" i="20"/>
  <c r="I990" i="20"/>
  <c r="I988" i="20"/>
  <c r="I986" i="20"/>
  <c r="I982" i="20"/>
  <c r="I976" i="20"/>
  <c r="I971" i="20"/>
  <c r="I970" i="20" s="1"/>
  <c r="I969" i="20" s="1"/>
  <c r="I968" i="20" s="1"/>
  <c r="I967" i="20" s="1"/>
  <c r="I966" i="20"/>
  <c r="I965" i="20"/>
  <c r="I957" i="20"/>
  <c r="I956" i="20" s="1"/>
  <c r="I955" i="20" s="1"/>
  <c r="I952" i="20"/>
  <c r="I951" i="20" s="1"/>
  <c r="I949" i="20"/>
  <c r="I948" i="20" s="1"/>
  <c r="I947" i="20" s="1"/>
  <c r="I944" i="20"/>
  <c r="I943" i="20" s="1"/>
  <c r="I942" i="20"/>
  <c r="I941" i="20"/>
  <c r="I938" i="20"/>
  <c r="I937" i="20"/>
  <c r="I931" i="20"/>
  <c r="I930" i="20"/>
  <c r="I927" i="20"/>
  <c r="I926" i="20"/>
  <c r="I919" i="20"/>
  <c r="I918" i="20" s="1"/>
  <c r="I917" i="20" s="1"/>
  <c r="I916" i="20" s="1"/>
  <c r="I915" i="20" s="1"/>
  <c r="I914" i="20" s="1"/>
  <c r="I913" i="20" s="1"/>
  <c r="H1039" i="20"/>
  <c r="H1038" i="20" s="1"/>
  <c r="H1037" i="20" s="1"/>
  <c r="H1036" i="20" s="1"/>
  <c r="H1035" i="20" s="1"/>
  <c r="H1033" i="20"/>
  <c r="H1032" i="20" s="1"/>
  <c r="H1029" i="20"/>
  <c r="H1028" i="20" s="1"/>
  <c r="H1022" i="20"/>
  <c r="H1021" i="20" s="1"/>
  <c r="H1018" i="20"/>
  <c r="H1017" i="20" s="1"/>
  <c r="H1013" i="20"/>
  <c r="H1011" i="20"/>
  <c r="H1008" i="20"/>
  <c r="H1007" i="20" s="1"/>
  <c r="H1002" i="20"/>
  <c r="H1000" i="20"/>
  <c r="H998" i="20"/>
  <c r="H995" i="20"/>
  <c r="H993" i="20"/>
  <c r="H990" i="20"/>
  <c r="H988" i="20"/>
  <c r="H986" i="20"/>
  <c r="H980" i="20"/>
  <c r="H979" i="20" s="1"/>
  <c r="H976" i="20"/>
  <c r="H971" i="20"/>
  <c r="H970" i="20" s="1"/>
  <c r="H969" i="20" s="1"/>
  <c r="H968" i="20" s="1"/>
  <c r="H967" i="20" s="1"/>
  <c r="H964" i="20"/>
  <c r="H963" i="20" s="1"/>
  <c r="H962" i="20" s="1"/>
  <c r="H961" i="20" s="1"/>
  <c r="H960" i="20" s="1"/>
  <c r="H957" i="20"/>
  <c r="H956" i="20" s="1"/>
  <c r="H955" i="20" s="1"/>
  <c r="H952" i="20"/>
  <c r="H951" i="20" s="1"/>
  <c r="H948" i="20"/>
  <c r="H947" i="20" s="1"/>
  <c r="H944" i="20"/>
  <c r="H943" i="20" s="1"/>
  <c r="H940" i="20"/>
  <c r="H939" i="20" s="1"/>
  <c r="H936" i="20"/>
  <c r="H935" i="20" s="1"/>
  <c r="H929" i="20"/>
  <c r="H928" i="20" s="1"/>
  <c r="H925" i="20"/>
  <c r="H924" i="20" s="1"/>
  <c r="H918" i="20"/>
  <c r="H917" i="20" s="1"/>
  <c r="H916" i="20" s="1"/>
  <c r="H915" i="20" s="1"/>
  <c r="H914" i="20" s="1"/>
  <c r="H913" i="20" s="1"/>
  <c r="H1048" i="20"/>
  <c r="H1047" i="20" s="1"/>
  <c r="H1046" i="20" s="1"/>
  <c r="H1045" i="20" s="1"/>
  <c r="H1044" i="20" s="1"/>
  <c r="I1048" i="20"/>
  <c r="I1047" i="20" s="1"/>
  <c r="I1046" i="20" s="1"/>
  <c r="I1045" i="20" s="1"/>
  <c r="I1044" i="20" s="1"/>
  <c r="H1051" i="20"/>
  <c r="H1050" i="20" s="1"/>
  <c r="I1051" i="20"/>
  <c r="I1050" i="20" s="1"/>
  <c r="H1057" i="20"/>
  <c r="H1056" i="20" s="1"/>
  <c r="I1058" i="20"/>
  <c r="I1057" i="20" s="1"/>
  <c r="I1056" i="20" s="1"/>
  <c r="H1060" i="20"/>
  <c r="I1061" i="20"/>
  <c r="I1060" i="20" s="1"/>
  <c r="H1062" i="20"/>
  <c r="I1063" i="20"/>
  <c r="I1062" i="20" s="1"/>
  <c r="H1068" i="20"/>
  <c r="H1067" i="20" s="1"/>
  <c r="I1069" i="20"/>
  <c r="I1068" i="20" s="1"/>
  <c r="I1067" i="20" s="1"/>
  <c r="H1071" i="20"/>
  <c r="H1070" i="20" s="1"/>
  <c r="I1071" i="20"/>
  <c r="I1070" i="20" s="1"/>
  <c r="H1079" i="20"/>
  <c r="H1078" i="20" s="1"/>
  <c r="I1080" i="20"/>
  <c r="I1079" i="20" s="1"/>
  <c r="I1078" i="20" s="1"/>
  <c r="H1082" i="20"/>
  <c r="I1083" i="20"/>
  <c r="I1082" i="20" s="1"/>
  <c r="H1084" i="20"/>
  <c r="I1084" i="20"/>
  <c r="H1089" i="20"/>
  <c r="H1088" i="20" s="1"/>
  <c r="H1087" i="20" s="1"/>
  <c r="H1086" i="20" s="1"/>
  <c r="I1089" i="20"/>
  <c r="I1088" i="20" s="1"/>
  <c r="I1087" i="20" s="1"/>
  <c r="I1086" i="20" s="1"/>
  <c r="J30" i="20"/>
  <c r="J47" i="20"/>
  <c r="J54" i="20"/>
  <c r="J61" i="20"/>
  <c r="J64" i="20"/>
  <c r="J72" i="20"/>
  <c r="J75" i="20"/>
  <c r="J78" i="20"/>
  <c r="J91" i="20"/>
  <c r="J94" i="20"/>
  <c r="J99" i="20"/>
  <c r="J106" i="20"/>
  <c r="J114" i="20"/>
  <c r="J126" i="20"/>
  <c r="J129" i="20"/>
  <c r="J132" i="20"/>
  <c r="J135" i="20"/>
  <c r="J138" i="20"/>
  <c r="J141" i="20"/>
  <c r="J144" i="20"/>
  <c r="J147" i="20"/>
  <c r="J150" i="20"/>
  <c r="J171" i="20"/>
  <c r="J174" i="20"/>
  <c r="J177" i="20"/>
  <c r="J181" i="20"/>
  <c r="J200" i="20"/>
  <c r="J203" i="20"/>
  <c r="J206" i="20"/>
  <c r="J212" i="20"/>
  <c r="J218" i="20"/>
  <c r="J225" i="20"/>
  <c r="J245" i="20"/>
  <c r="J248" i="20"/>
  <c r="J254" i="20"/>
  <c r="J260" i="20"/>
  <c r="J306" i="20"/>
  <c r="J311" i="20"/>
  <c r="J319" i="20"/>
  <c r="J327" i="20"/>
  <c r="J334" i="20"/>
  <c r="J337" i="20"/>
  <c r="J339" i="20"/>
  <c r="J348" i="20"/>
  <c r="J363" i="20"/>
  <c r="J366" i="20"/>
  <c r="J369" i="20"/>
  <c r="J381" i="20"/>
  <c r="J402" i="20"/>
  <c r="J405" i="20"/>
  <c r="J432" i="20"/>
  <c r="J451" i="20"/>
  <c r="J469" i="20"/>
  <c r="J471" i="20"/>
  <c r="J473" i="20"/>
  <c r="J485" i="20"/>
  <c r="J488" i="20"/>
  <c r="J513" i="20"/>
  <c r="J518" i="20"/>
  <c r="J535" i="20"/>
  <c r="J541" i="20"/>
  <c r="J544" i="20"/>
  <c r="J551" i="20"/>
  <c r="J560" i="20"/>
  <c r="J566" i="20"/>
  <c r="J569" i="20"/>
  <c r="J577" i="20"/>
  <c r="J583" i="20"/>
  <c r="J612" i="20"/>
  <c r="J615" i="20"/>
  <c r="J629" i="20"/>
  <c r="J641" i="20"/>
  <c r="J647" i="20"/>
  <c r="J653" i="20"/>
  <c r="J666" i="20"/>
  <c r="J669" i="20"/>
  <c r="J675" i="20"/>
  <c r="J681" i="20"/>
  <c r="J688" i="20"/>
  <c r="J708" i="20"/>
  <c r="J711" i="20"/>
  <c r="J717" i="20"/>
  <c r="J723" i="20"/>
  <c r="J730" i="20"/>
  <c r="J745" i="20"/>
  <c r="J766" i="20"/>
  <c r="J769" i="20"/>
  <c r="J779" i="20"/>
  <c r="J794" i="20"/>
  <c r="J805" i="20"/>
  <c r="J851" i="20"/>
  <c r="J864" i="20"/>
  <c r="J867" i="20"/>
  <c r="J892" i="20"/>
  <c r="J895" i="20"/>
  <c r="J901" i="20"/>
  <c r="J911" i="20"/>
  <c r="J945" i="20"/>
  <c r="J946" i="20"/>
  <c r="J950" i="20"/>
  <c r="J953" i="20"/>
  <c r="J954" i="20"/>
  <c r="J958" i="20"/>
  <c r="J959" i="20"/>
  <c r="J972" i="20"/>
  <c r="J978" i="20"/>
  <c r="J991" i="20"/>
  <c r="J994" i="20"/>
  <c r="J999" i="20"/>
  <c r="J1003" i="20"/>
  <c r="J1014" i="20"/>
  <c r="J1019" i="20"/>
  <c r="J1020" i="20"/>
  <c r="J1023" i="20"/>
  <c r="J1031" i="20"/>
  <c r="J1034" i="20"/>
  <c r="J1049" i="20"/>
  <c r="J1052" i="20"/>
  <c r="J1072" i="20"/>
  <c r="J1085" i="20"/>
  <c r="J1090" i="20"/>
  <c r="J16" i="20"/>
  <c r="G22" i="20"/>
  <c r="G27" i="20"/>
  <c r="G15" i="20"/>
  <c r="I623" i="20" l="1"/>
  <c r="I622" i="20" s="1"/>
  <c r="I616" i="20" s="1"/>
  <c r="H302" i="20"/>
  <c r="H297" i="20" s="1"/>
  <c r="H296" i="20" s="1"/>
  <c r="H295" i="20" s="1"/>
  <c r="I302" i="20"/>
  <c r="I297" i="20" s="1"/>
  <c r="I296" i="20" s="1"/>
  <c r="I295" i="20" s="1"/>
  <c r="G385" i="21"/>
  <c r="G686" i="21"/>
  <c r="G665" i="21"/>
  <c r="G115" i="21"/>
  <c r="G234" i="21"/>
  <c r="G353" i="21"/>
  <c r="H623" i="20"/>
  <c r="H622" i="20" s="1"/>
  <c r="H616" i="20" s="1"/>
  <c r="H571" i="20"/>
  <c r="H570" i="20" s="1"/>
  <c r="I571" i="20"/>
  <c r="I570" i="20" s="1"/>
  <c r="I476" i="20"/>
  <c r="H476" i="20"/>
  <c r="H241" i="20"/>
  <c r="H237" i="20" s="1"/>
  <c r="H236" i="20" s="1"/>
  <c r="H235" i="20" s="1"/>
  <c r="H234" i="20" s="1"/>
  <c r="H233" i="20" s="1"/>
  <c r="I241" i="20"/>
  <c r="I237" i="20" s="1"/>
  <c r="I236" i="20" s="1"/>
  <c r="I235" i="20" s="1"/>
  <c r="I234" i="20" s="1"/>
  <c r="I233" i="20" s="1"/>
  <c r="I351" i="20"/>
  <c r="I88" i="20"/>
  <c r="H88" i="20"/>
  <c r="G641" i="21"/>
  <c r="G402" i="21"/>
  <c r="H527" i="21"/>
  <c r="H526" i="21" s="1"/>
  <c r="H523" i="21"/>
  <c r="H522" i="21" s="1"/>
  <c r="G372" i="21"/>
  <c r="G371" i="21" s="1"/>
  <c r="G523" i="21"/>
  <c r="G522" i="21" s="1"/>
  <c r="G542" i="21"/>
  <c r="G541" i="21" s="1"/>
  <c r="G636" i="21"/>
  <c r="G632" i="21" s="1"/>
  <c r="G631" i="21" s="1"/>
  <c r="G630" i="21" s="1"/>
  <c r="G800" i="21"/>
  <c r="G795" i="21" s="1"/>
  <c r="G794" i="21" s="1"/>
  <c r="G793" i="21" s="1"/>
  <c r="H538" i="21"/>
  <c r="H537" i="21" s="1"/>
  <c r="G218" i="21"/>
  <c r="G214" i="21" s="1"/>
  <c r="G213" i="21" s="1"/>
  <c r="G212" i="21" s="1"/>
  <c r="G269" i="21"/>
  <c r="G67" i="21"/>
  <c r="G63" i="21" s="1"/>
  <c r="G62" i="21" s="1"/>
  <c r="G123" i="21"/>
  <c r="G122" i="21" s="1"/>
  <c r="G538" i="21"/>
  <c r="G537" i="21" s="1"/>
  <c r="H687" i="21"/>
  <c r="H173" i="21"/>
  <c r="H774" i="21"/>
  <c r="H265" i="21"/>
  <c r="H421" i="21"/>
  <c r="H667" i="21"/>
  <c r="H47" i="21"/>
  <c r="H74" i="21"/>
  <c r="H100" i="21"/>
  <c r="H146" i="21"/>
  <c r="H161" i="21"/>
  <c r="H235" i="21"/>
  <c r="H253" i="21"/>
  <c r="H338" i="21"/>
  <c r="H409" i="21"/>
  <c r="H438" i="21"/>
  <c r="H495" i="21"/>
  <c r="H618" i="21"/>
  <c r="H634" i="21"/>
  <c r="H699" i="21"/>
  <c r="H714" i="21"/>
  <c r="G77" i="21"/>
  <c r="G73" i="21" s="1"/>
  <c r="G72" i="21" s="1"/>
  <c r="G302" i="21"/>
  <c r="G363" i="21"/>
  <c r="G362" i="21" s="1"/>
  <c r="G454" i="21"/>
  <c r="G716" i="21"/>
  <c r="G712" i="21" s="1"/>
  <c r="G711" i="21" s="1"/>
  <c r="G710" i="21" s="1"/>
  <c r="G749" i="21"/>
  <c r="G748" i="21" s="1"/>
  <c r="H36" i="21"/>
  <c r="H65" i="21"/>
  <c r="H89" i="21"/>
  <c r="H113" i="21"/>
  <c r="H132" i="21"/>
  <c r="H199" i="21"/>
  <c r="H247" i="21"/>
  <c r="H259" i="21"/>
  <c r="H258" i="21" s="1"/>
  <c r="H294" i="21"/>
  <c r="H306" i="21"/>
  <c r="H325" i="21"/>
  <c r="H348" i="21"/>
  <c r="H386" i="21"/>
  <c r="H393" i="21"/>
  <c r="H404" i="21"/>
  <c r="H430" i="21"/>
  <c r="H452" i="21"/>
  <c r="H466" i="21"/>
  <c r="H486" i="21"/>
  <c r="H497" i="21"/>
  <c r="H508" i="21"/>
  <c r="H545" i="21"/>
  <c r="H558" i="21"/>
  <c r="H579" i="21"/>
  <c r="H590" i="21"/>
  <c r="H614" i="21"/>
  <c r="H671" i="21"/>
  <c r="H679" i="21"/>
  <c r="H691" i="21"/>
  <c r="H702" i="21"/>
  <c r="H717" i="21"/>
  <c r="H800" i="21"/>
  <c r="H795" i="21" s="1"/>
  <c r="H30" i="21"/>
  <c r="H119" i="21"/>
  <c r="H115" i="21" s="1"/>
  <c r="H244" i="21"/>
  <c r="H291" i="21"/>
  <c r="H363" i="21"/>
  <c r="H428" i="21"/>
  <c r="H464" i="21"/>
  <c r="H479" i="21"/>
  <c r="H516" i="21"/>
  <c r="H573" i="21"/>
  <c r="H642" i="21"/>
  <c r="H641" i="21" s="1"/>
  <c r="H25" i="21"/>
  <c r="H42" i="21"/>
  <c r="H68" i="21"/>
  <c r="H67" i="21" s="1"/>
  <c r="H78" i="21"/>
  <c r="H77" i="21" s="1"/>
  <c r="H95" i="21"/>
  <c r="H137" i="21"/>
  <c r="H151" i="21"/>
  <c r="H157" i="21"/>
  <c r="H164" i="21"/>
  <c r="H201" i="21"/>
  <c r="H225" i="21"/>
  <c r="H239" i="21"/>
  <c r="H285" i="21"/>
  <c r="H312" i="21"/>
  <c r="H341" i="21"/>
  <c r="H350" i="21"/>
  <c r="H369" i="21"/>
  <c r="H378" i="21"/>
  <c r="H389" i="21"/>
  <c r="H395" i="21"/>
  <c r="H406" i="21"/>
  <c r="H412" i="21"/>
  <c r="H442" i="21"/>
  <c r="H455" i="21"/>
  <c r="H473" i="21"/>
  <c r="H489" i="21"/>
  <c r="H499" i="21"/>
  <c r="H510" i="21"/>
  <c r="H550" i="21"/>
  <c r="H606" i="21"/>
  <c r="H626" i="21"/>
  <c r="H659" i="21"/>
  <c r="H675" i="21"/>
  <c r="H682" i="21"/>
  <c r="H719" i="21"/>
  <c r="H733" i="21"/>
  <c r="H751" i="21"/>
  <c r="G172" i="21"/>
  <c r="G171" i="21" s="1"/>
  <c r="G170" i="21" s="1"/>
  <c r="G618" i="21"/>
  <c r="H58" i="21"/>
  <c r="H82" i="21"/>
  <c r="H110" i="21"/>
  <c r="H128" i="21"/>
  <c r="H167" i="21"/>
  <c r="H183" i="21"/>
  <c r="H218" i="21"/>
  <c r="H273" i="21"/>
  <c r="H304" i="21"/>
  <c r="H331" i="21"/>
  <c r="H327" i="21" s="1"/>
  <c r="H354" i="21"/>
  <c r="H353" i="21" s="1"/>
  <c r="H419" i="21"/>
  <c r="H449" i="21"/>
  <c r="H584" i="21"/>
  <c r="H612" i="21"/>
  <c r="H725" i="21"/>
  <c r="H721" i="21" s="1"/>
  <c r="G462" i="21"/>
  <c r="G461" i="21" s="1"/>
  <c r="G594" i="21"/>
  <c r="G593" i="21" s="1"/>
  <c r="G592" i="21" s="1"/>
  <c r="G606" i="21"/>
  <c r="G605" i="21" s="1"/>
  <c r="G601" i="21" s="1"/>
  <c r="G623" i="21"/>
  <c r="H15" i="21"/>
  <c r="H28" i="21"/>
  <c r="H45" i="21"/>
  <c r="H53" i="21"/>
  <c r="H97" i="21"/>
  <c r="H107" i="21"/>
  <c r="H124" i="21"/>
  <c r="H144" i="21"/>
  <c r="H153" i="21"/>
  <c r="H176" i="21"/>
  <c r="H205" i="21"/>
  <c r="H215" i="21"/>
  <c r="H229" i="21"/>
  <c r="H279" i="21"/>
  <c r="H288" i="21"/>
  <c r="H300" i="21"/>
  <c r="H314" i="21"/>
  <c r="H345" i="21"/>
  <c r="H373" i="21"/>
  <c r="H383" i="21"/>
  <c r="H416" i="21"/>
  <c r="H424" i="21"/>
  <c r="H436" i="21"/>
  <c r="H446" i="21"/>
  <c r="H458" i="21"/>
  <c r="H477" i="21"/>
  <c r="H491" i="21"/>
  <c r="H505" i="21"/>
  <c r="H532" i="21"/>
  <c r="H542" i="21"/>
  <c r="H553" i="21"/>
  <c r="H704" i="21"/>
  <c r="H739" i="21"/>
  <c r="G488" i="21"/>
  <c r="G484" i="21" s="1"/>
  <c r="G483" i="21" s="1"/>
  <c r="G482" i="21" s="1"/>
  <c r="G198" i="21"/>
  <c r="G197" i="21" s="1"/>
  <c r="G196" i="21" s="1"/>
  <c r="G195" i="21" s="1"/>
  <c r="G577" i="21"/>
  <c r="G576" i="21" s="1"/>
  <c r="G11" i="21"/>
  <c r="G143" i="21"/>
  <c r="G161" i="21"/>
  <c r="G160" i="21" s="1"/>
  <c r="G678" i="21"/>
  <c r="H187" i="21"/>
  <c r="H566" i="21"/>
  <c r="H594" i="21"/>
  <c r="H636" i="21"/>
  <c r="G205" i="21"/>
  <c r="G204" i="21" s="1"/>
  <c r="G203" i="21" s="1"/>
  <c r="G527" i="21"/>
  <c r="G526" i="21" s="1"/>
  <c r="G566" i="21"/>
  <c r="G565" i="21" s="1"/>
  <c r="G564" i="21" s="1"/>
  <c r="G563" i="21" s="1"/>
  <c r="G562" i="21" s="1"/>
  <c r="G27" i="21"/>
  <c r="G23" i="21" s="1"/>
  <c r="G22" i="21" s="1"/>
  <c r="G21" i="21" s="1"/>
  <c r="G258" i="21"/>
  <c r="G257" i="21" s="1"/>
  <c r="G256" i="21" s="1"/>
  <c r="G611" i="21"/>
  <c r="G610" i="21" s="1"/>
  <c r="G187" i="21"/>
  <c r="G186" i="21" s="1"/>
  <c r="G476" i="21"/>
  <c r="G472" i="21" s="1"/>
  <c r="G471" i="21" s="1"/>
  <c r="G470" i="21" s="1"/>
  <c r="G652" i="21"/>
  <c r="G651" i="21" s="1"/>
  <c r="G758" i="21"/>
  <c r="G757" i="21" s="1"/>
  <c r="G783" i="21"/>
  <c r="G778" i="21" s="1"/>
  <c r="H783" i="21"/>
  <c r="H758" i="21"/>
  <c r="G44" i="21"/>
  <c r="G40" i="21" s="1"/>
  <c r="G39" i="21" s="1"/>
  <c r="G32" i="21" s="1"/>
  <c r="G150" i="21"/>
  <c r="G93" i="21"/>
  <c r="G337" i="21"/>
  <c r="G327" i="21"/>
  <c r="G664" i="21"/>
  <c r="G663" i="21" s="1"/>
  <c r="G434" i="21"/>
  <c r="G433" i="21" s="1"/>
  <c r="G494" i="21"/>
  <c r="G493" i="21" s="1"/>
  <c r="G721" i="21"/>
  <c r="G310" i="21"/>
  <c r="G309" i="21" s="1"/>
  <c r="G444" i="21"/>
  <c r="G507" i="21"/>
  <c r="G503" i="21" s="1"/>
  <c r="G502" i="21" s="1"/>
  <c r="G501" i="21" s="1"/>
  <c r="H165" i="20"/>
  <c r="H164" i="20" s="1"/>
  <c r="H163" i="20" s="1"/>
  <c r="H156" i="20" s="1"/>
  <c r="H108" i="20"/>
  <c r="H107" i="20" s="1"/>
  <c r="H285" i="20"/>
  <c r="H284" i="20" s="1"/>
  <c r="H196" i="20"/>
  <c r="H192" i="20" s="1"/>
  <c r="H191" i="20" s="1"/>
  <c r="H190" i="20" s="1"/>
  <c r="H189" i="20" s="1"/>
  <c r="H188" i="20" s="1"/>
  <c r="H48" i="20"/>
  <c r="I335" i="20"/>
  <c r="I331" i="20" s="1"/>
  <c r="I330" i="20" s="1"/>
  <c r="I329" i="20" s="1"/>
  <c r="I285" i="20"/>
  <c r="I284" i="20" s="1"/>
  <c r="I196" i="20"/>
  <c r="I192" i="20" s="1"/>
  <c r="I191" i="20" s="1"/>
  <c r="I190" i="20" s="1"/>
  <c r="I189" i="20" s="1"/>
  <c r="I188" i="20" s="1"/>
  <c r="I48" i="20"/>
  <c r="H41" i="20"/>
  <c r="I66" i="20"/>
  <c r="I41" i="20"/>
  <c r="I108" i="20"/>
  <c r="I107" i="20" s="1"/>
  <c r="I123" i="20"/>
  <c r="I122" i="20" s="1"/>
  <c r="I115" i="20" s="1"/>
  <c r="I165" i="20"/>
  <c r="I164" i="20" s="1"/>
  <c r="I163" i="20" s="1"/>
  <c r="I156" i="20" s="1"/>
  <c r="H123" i="20"/>
  <c r="H122" i="20" s="1"/>
  <c r="H115" i="20" s="1"/>
  <c r="H66" i="20"/>
  <c r="H351" i="20"/>
  <c r="H375" i="20"/>
  <c r="H374" i="20" s="1"/>
  <c r="H373" i="20" s="1"/>
  <c r="I316" i="20"/>
  <c r="I315" i="20" s="1"/>
  <c r="I314" i="20" s="1"/>
  <c r="I313" i="20" s="1"/>
  <c r="H335" i="20"/>
  <c r="H331" i="20" s="1"/>
  <c r="H330" i="20" s="1"/>
  <c r="H329" i="20" s="1"/>
  <c r="I375" i="20"/>
  <c r="I374" i="20" s="1"/>
  <c r="I373" i="20" s="1"/>
  <c r="H316" i="20"/>
  <c r="H315" i="20" s="1"/>
  <c r="H314" i="20" s="1"/>
  <c r="H313" i="20" s="1"/>
  <c r="I538" i="20"/>
  <c r="I537" i="20" s="1"/>
  <c r="I536" i="20" s="1"/>
  <c r="I563" i="20"/>
  <c r="I562" i="20" s="1"/>
  <c r="I554" i="20"/>
  <c r="I553" i="20" s="1"/>
  <c r="I552" i="20" s="1"/>
  <c r="H538" i="20"/>
  <c r="H537" i="20" s="1"/>
  <c r="H536" i="20" s="1"/>
  <c r="H507" i="20"/>
  <c r="H526" i="20"/>
  <c r="H522" i="20" s="1"/>
  <c r="H521" i="20" s="1"/>
  <c r="H520" i="20" s="1"/>
  <c r="H519" i="20" s="1"/>
  <c r="I467" i="20"/>
  <c r="I466" i="20" s="1"/>
  <c r="I465" i="20" s="1"/>
  <c r="I464" i="20" s="1"/>
  <c r="I526" i="20"/>
  <c r="I522" i="20" s="1"/>
  <c r="I521" i="20" s="1"/>
  <c r="I520" i="20" s="1"/>
  <c r="I519" i="20" s="1"/>
  <c r="H467" i="20"/>
  <c r="H466" i="20" s="1"/>
  <c r="H465" i="20" s="1"/>
  <c r="H464" i="20" s="1"/>
  <c r="I507" i="20"/>
  <c r="I792" i="20"/>
  <c r="I791" i="20" s="1"/>
  <c r="H563" i="20"/>
  <c r="H562" i="20" s="1"/>
  <c r="H792" i="20"/>
  <c r="H791" i="20" s="1"/>
  <c r="I1059" i="20"/>
  <c r="I1055" i="20" s="1"/>
  <c r="I1054" i="20" s="1"/>
  <c r="I1053" i="20" s="1"/>
  <c r="H554" i="20"/>
  <c r="H553" i="20" s="1"/>
  <c r="H552" i="20" s="1"/>
  <c r="I588" i="20"/>
  <c r="I587" i="20" s="1"/>
  <c r="I605" i="20"/>
  <c r="I601" i="20" s="1"/>
  <c r="I600" i="20" s="1"/>
  <c r="I599" i="20" s="1"/>
  <c r="I598" i="20" s="1"/>
  <c r="I638" i="20"/>
  <c r="I637" i="20" s="1"/>
  <c r="I636" i="20" s="1"/>
  <c r="H588" i="20"/>
  <c r="H587" i="20" s="1"/>
  <c r="H605" i="20"/>
  <c r="H601" i="20" s="1"/>
  <c r="H600" i="20" s="1"/>
  <c r="H599" i="20" s="1"/>
  <c r="H598" i="20" s="1"/>
  <c r="H638" i="20"/>
  <c r="H637" i="20" s="1"/>
  <c r="H636" i="20" s="1"/>
  <c r="I940" i="20"/>
  <c r="I939" i="20" s="1"/>
  <c r="H1059" i="20"/>
  <c r="H1055" i="20" s="1"/>
  <c r="H1054" i="20" s="1"/>
  <c r="H1053" i="20" s="1"/>
  <c r="I929" i="20"/>
  <c r="I928" i="20" s="1"/>
  <c r="I992" i="20"/>
  <c r="H860" i="20"/>
  <c r="H856" i="20" s="1"/>
  <c r="H855" i="20" s="1"/>
  <c r="H854" i="20" s="1"/>
  <c r="H853" i="20" s="1"/>
  <c r="H852" i="20" s="1"/>
  <c r="I662" i="20"/>
  <c r="I658" i="20" s="1"/>
  <c r="I657" i="20" s="1"/>
  <c r="I656" i="20" s="1"/>
  <c r="I655" i="20" s="1"/>
  <c r="I654" i="20" s="1"/>
  <c r="I925" i="20"/>
  <c r="I924" i="20" s="1"/>
  <c r="I936" i="20"/>
  <c r="I935" i="20" s="1"/>
  <c r="I997" i="20"/>
  <c r="I888" i="20"/>
  <c r="I884" i="20" s="1"/>
  <c r="I883" i="20" s="1"/>
  <c r="I882" i="20" s="1"/>
  <c r="I964" i="20"/>
  <c r="I963" i="20" s="1"/>
  <c r="I962" i="20" s="1"/>
  <c r="I961" i="20" s="1"/>
  <c r="I960" i="20" s="1"/>
  <c r="H888" i="20"/>
  <c r="H884" i="20" s="1"/>
  <c r="H883" i="20" s="1"/>
  <c r="H882" i="20" s="1"/>
  <c r="I834" i="20"/>
  <c r="I830" i="20" s="1"/>
  <c r="I829" i="20" s="1"/>
  <c r="I828" i="20" s="1"/>
  <c r="I980" i="20"/>
  <c r="I979" i="20" s="1"/>
  <c r="I975" i="20" s="1"/>
  <c r="I985" i="20"/>
  <c r="I984" i="20" s="1"/>
  <c r="I1010" i="20"/>
  <c r="I1006" i="20" s="1"/>
  <c r="I1005" i="20" s="1"/>
  <c r="I1004" i="20" s="1"/>
  <c r="I1027" i="20"/>
  <c r="I1026" i="20" s="1"/>
  <c r="I1025" i="20" s="1"/>
  <c r="I1024" i="20" s="1"/>
  <c r="I860" i="20"/>
  <c r="I856" i="20" s="1"/>
  <c r="I855" i="20" s="1"/>
  <c r="I854" i="20" s="1"/>
  <c r="I853" i="20" s="1"/>
  <c r="I852" i="20" s="1"/>
  <c r="H704" i="20"/>
  <c r="H700" i="20" s="1"/>
  <c r="H699" i="20" s="1"/>
  <c r="H698" i="20" s="1"/>
  <c r="H697" i="20" s="1"/>
  <c r="H696" i="20" s="1"/>
  <c r="H662" i="20"/>
  <c r="H658" i="20" s="1"/>
  <c r="H657" i="20" s="1"/>
  <c r="H656" i="20" s="1"/>
  <c r="H655" i="20" s="1"/>
  <c r="H654" i="20" s="1"/>
  <c r="I1016" i="20"/>
  <c r="I1015" i="20" s="1"/>
  <c r="I898" i="20"/>
  <c r="I897" i="20" s="1"/>
  <c r="I896" i="20" s="1"/>
  <c r="H840" i="20"/>
  <c r="H839" i="20" s="1"/>
  <c r="I756" i="20"/>
  <c r="I763" i="20"/>
  <c r="H997" i="20"/>
  <c r="I801" i="20"/>
  <c r="I800" i="20" s="1"/>
  <c r="I816" i="20"/>
  <c r="I815" i="20" s="1"/>
  <c r="I814" i="20" s="1"/>
  <c r="I704" i="20"/>
  <c r="I700" i="20" s="1"/>
  <c r="I699" i="20" s="1"/>
  <c r="I698" i="20" s="1"/>
  <c r="I697" i="20" s="1"/>
  <c r="I696" i="20" s="1"/>
  <c r="H834" i="20"/>
  <c r="H830" i="20" s="1"/>
  <c r="H829" i="20" s="1"/>
  <c r="H828" i="20" s="1"/>
  <c r="H816" i="20"/>
  <c r="H815" i="20" s="1"/>
  <c r="H814" i="20" s="1"/>
  <c r="H801" i="20"/>
  <c r="H800" i="20" s="1"/>
  <c r="H763" i="20"/>
  <c r="H756" i="20"/>
  <c r="I773" i="20"/>
  <c r="I840" i="20"/>
  <c r="I839" i="20" s="1"/>
  <c r="H773" i="20"/>
  <c r="H898" i="20"/>
  <c r="H897" i="20" s="1"/>
  <c r="H896" i="20" s="1"/>
  <c r="H1027" i="20"/>
  <c r="H1026" i="20" s="1"/>
  <c r="H1025" i="20" s="1"/>
  <c r="H1024" i="20" s="1"/>
  <c r="H1010" i="20"/>
  <c r="H1006" i="20" s="1"/>
  <c r="H1005" i="20" s="1"/>
  <c r="H1004" i="20" s="1"/>
  <c r="H992" i="20"/>
  <c r="H923" i="20"/>
  <c r="H922" i="20" s="1"/>
  <c r="H921" i="20" s="1"/>
  <c r="H934" i="20"/>
  <c r="H933" i="20" s="1"/>
  <c r="H932" i="20" s="1"/>
  <c r="H975" i="20"/>
  <c r="H985" i="20"/>
  <c r="H984" i="20" s="1"/>
  <c r="H1016" i="20"/>
  <c r="H1015" i="20" s="1"/>
  <c r="I1066" i="20"/>
  <c r="I1065" i="20" s="1"/>
  <c r="I1064" i="20" s="1"/>
  <c r="H1066" i="20"/>
  <c r="H1065" i="20" s="1"/>
  <c r="H1064" i="20" s="1"/>
  <c r="I1043" i="20"/>
  <c r="H1043" i="20"/>
  <c r="H1081" i="20"/>
  <c r="H1077" i="20" s="1"/>
  <c r="H1076" i="20" s="1"/>
  <c r="H1075" i="20" s="1"/>
  <c r="H1074" i="20" s="1"/>
  <c r="H1073" i="20" s="1"/>
  <c r="I1081" i="20"/>
  <c r="I1077" i="20" s="1"/>
  <c r="I1076" i="20" s="1"/>
  <c r="I1075" i="20" s="1"/>
  <c r="I1074" i="20" s="1"/>
  <c r="I1073" i="20" s="1"/>
  <c r="J15" i="20"/>
  <c r="J25" i="20"/>
  <c r="J22" i="20"/>
  <c r="J27" i="20"/>
  <c r="I40" i="20" l="1"/>
  <c r="I39" i="20" s="1"/>
  <c r="I38" i="20" s="1"/>
  <c r="G777" i="21"/>
  <c r="G319" i="21"/>
  <c r="G318" i="21" s="1"/>
  <c r="H143" i="21"/>
  <c r="H103" i="20"/>
  <c r="H102" i="20" s="1"/>
  <c r="H101" i="20" s="1"/>
  <c r="H100" i="20" s="1"/>
  <c r="H350" i="20"/>
  <c r="H349" i="20" s="1"/>
  <c r="H328" i="20" s="1"/>
  <c r="H312" i="20" s="1"/>
  <c r="I283" i="20"/>
  <c r="I275" i="20" s="1"/>
  <c r="H65" i="20"/>
  <c r="H283" i="20"/>
  <c r="H275" i="20" s="1"/>
  <c r="H40" i="20"/>
  <c r="H39" i="20" s="1"/>
  <c r="H38" i="20" s="1"/>
  <c r="G521" i="21"/>
  <c r="G520" i="21" s="1"/>
  <c r="G519" i="21" s="1"/>
  <c r="H507" i="21"/>
  <c r="H150" i="21"/>
  <c r="G233" i="21"/>
  <c r="G232" i="21" s="1"/>
  <c r="G575" i="21"/>
  <c r="H611" i="21"/>
  <c r="H610" i="21" s="1"/>
  <c r="G361" i="21"/>
  <c r="G360" i="21" s="1"/>
  <c r="H198" i="21"/>
  <c r="H197" i="21" s="1"/>
  <c r="H44" i="21"/>
  <c r="H476" i="21"/>
  <c r="H472" i="21" s="1"/>
  <c r="H471" i="21" s="1"/>
  <c r="H27" i="21"/>
  <c r="G536" i="21"/>
  <c r="G535" i="21" s="1"/>
  <c r="G534" i="21" s="1"/>
  <c r="G743" i="21"/>
  <c r="G736" i="21" s="1"/>
  <c r="H521" i="21"/>
  <c r="H520" i="21" s="1"/>
  <c r="G142" i="21"/>
  <c r="G141" i="21" s="1"/>
  <c r="G140" i="21" s="1"/>
  <c r="H488" i="21"/>
  <c r="H716" i="21"/>
  <c r="H494" i="21"/>
  <c r="H493" i="21" s="1"/>
  <c r="H269" i="21"/>
  <c r="H182" i="21"/>
  <c r="H181" i="21" s="1"/>
  <c r="G481" i="21"/>
  <c r="G469" i="21" s="1"/>
  <c r="G182" i="21"/>
  <c r="G181" i="21" s="1"/>
  <c r="G180" i="21" s="1"/>
  <c r="G179" i="21" s="1"/>
  <c r="G268" i="21"/>
  <c r="H541" i="21"/>
  <c r="H674" i="21"/>
  <c r="H605" i="21"/>
  <c r="H368" i="21"/>
  <c r="H362" i="21" s="1"/>
  <c r="H324" i="21"/>
  <c r="H320" i="21" s="1"/>
  <c r="H713" i="21"/>
  <c r="H633" i="21"/>
  <c r="H666" i="21"/>
  <c r="H773" i="21"/>
  <c r="H778" i="21"/>
  <c r="H257" i="21"/>
  <c r="G609" i="21"/>
  <c r="G600" i="21" s="1"/>
  <c r="G599" i="21" s="1"/>
  <c r="H186" i="21"/>
  <c r="H738" i="21"/>
  <c r="H504" i="21"/>
  <c r="H445" i="21"/>
  <c r="H382" i="21"/>
  <c r="H214" i="21"/>
  <c r="H52" i="21"/>
  <c r="H418" i="21"/>
  <c r="H750" i="21"/>
  <c r="H623" i="21"/>
  <c r="H549" i="21"/>
  <c r="H454" i="21"/>
  <c r="H311" i="21"/>
  <c r="H238" i="21"/>
  <c r="H234" i="21" s="1"/>
  <c r="H94" i="21"/>
  <c r="H515" i="21"/>
  <c r="H463" i="21"/>
  <c r="H403" i="21"/>
  <c r="H347" i="21"/>
  <c r="H64" i="21"/>
  <c r="H136" i="21"/>
  <c r="H794" i="21"/>
  <c r="H593" i="21"/>
  <c r="H531" i="21"/>
  <c r="H372" i="21"/>
  <c r="H344" i="21"/>
  <c r="H204" i="21"/>
  <c r="H109" i="21"/>
  <c r="H57" i="21"/>
  <c r="H377" i="21"/>
  <c r="H24" i="21"/>
  <c r="H690" i="21"/>
  <c r="H670" i="21"/>
  <c r="H589" i="21"/>
  <c r="H557" i="21"/>
  <c r="H131" i="21"/>
  <c r="H88" i="21"/>
  <c r="H698" i="21"/>
  <c r="H757" i="21"/>
  <c r="H299" i="21"/>
  <c r="H303" i="21"/>
  <c r="H127" i="21"/>
  <c r="H123" i="21" s="1"/>
  <c r="H41" i="21"/>
  <c r="H701" i="21"/>
  <c r="H578" i="21"/>
  <c r="H112" i="21"/>
  <c r="G92" i="21"/>
  <c r="H678" i="21"/>
  <c r="H73" i="21"/>
  <c r="H652" i="21"/>
  <c r="H565" i="21"/>
  <c r="H435" i="21"/>
  <c r="H415" i="21"/>
  <c r="H228" i="21"/>
  <c r="H106" i="21"/>
  <c r="H14" i="21"/>
  <c r="H448" i="21"/>
  <c r="H732" i="21"/>
  <c r="H441" i="21"/>
  <c r="H224" i="21"/>
  <c r="H572" i="21"/>
  <c r="H427" i="21"/>
  <c r="H485" i="21"/>
  <c r="H451" i="21"/>
  <c r="H392" i="21"/>
  <c r="H385" i="21" s="1"/>
  <c r="H35" i="21"/>
  <c r="H160" i="21"/>
  <c r="H172" i="21"/>
  <c r="G401" i="21"/>
  <c r="G685" i="21"/>
  <c r="G677" i="21" s="1"/>
  <c r="G662" i="21" s="1"/>
  <c r="G61" i="21"/>
  <c r="I103" i="20"/>
  <c r="I102" i="20" s="1"/>
  <c r="I101" i="20" s="1"/>
  <c r="I100" i="20" s="1"/>
  <c r="I65" i="20"/>
  <c r="I37" i="20" s="1"/>
  <c r="I10" i="20" s="1"/>
  <c r="I9" i="20" s="1"/>
  <c r="I350" i="20"/>
  <c r="I349" i="20" s="1"/>
  <c r="I328" i="20" s="1"/>
  <c r="I312" i="20" s="1"/>
  <c r="H475" i="20"/>
  <c r="H474" i="20" s="1"/>
  <c r="H463" i="20" s="1"/>
  <c r="I475" i="20"/>
  <c r="I474" i="20" s="1"/>
  <c r="I463" i="20" s="1"/>
  <c r="H790" i="20"/>
  <c r="H789" i="20" s="1"/>
  <c r="I983" i="20"/>
  <c r="I974" i="20" s="1"/>
  <c r="I973" i="20" s="1"/>
  <c r="I561" i="20"/>
  <c r="I545" i="20" s="1"/>
  <c r="H561" i="20"/>
  <c r="H545" i="20" s="1"/>
  <c r="H1042" i="20"/>
  <c r="H1041" i="20" s="1"/>
  <c r="I923" i="20"/>
  <c r="I922" i="20" s="1"/>
  <c r="I921" i="20" s="1"/>
  <c r="H827" i="20"/>
  <c r="H826" i="20" s="1"/>
  <c r="I934" i="20"/>
  <c r="I933" i="20" s="1"/>
  <c r="I932" i="20" s="1"/>
  <c r="I881" i="20"/>
  <c r="I880" i="20" s="1"/>
  <c r="H881" i="20"/>
  <c r="H880" i="20" s="1"/>
  <c r="I790" i="20"/>
  <c r="I789" i="20" s="1"/>
  <c r="H983" i="20"/>
  <c r="H974" i="20" s="1"/>
  <c r="H973" i="20" s="1"/>
  <c r="H920" i="20" s="1"/>
  <c r="H912" i="20" s="1"/>
  <c r="I1042" i="20"/>
  <c r="I1041" i="20" s="1"/>
  <c r="H755" i="20"/>
  <c r="H754" i="20" s="1"/>
  <c r="I755" i="20"/>
  <c r="I754" i="20" s="1"/>
  <c r="I827" i="20"/>
  <c r="I826" i="20" s="1"/>
  <c r="H712" i="21" l="1"/>
  <c r="H142" i="21"/>
  <c r="H686" i="21"/>
  <c r="H37" i="20"/>
  <c r="H10" i="20" s="1"/>
  <c r="H9" i="20" s="1"/>
  <c r="G91" i="21"/>
  <c r="G10" i="21" s="1"/>
  <c r="H402" i="21"/>
  <c r="G518" i="21"/>
  <c r="H23" i="21"/>
  <c r="H22" i="21" s="1"/>
  <c r="H536" i="21"/>
  <c r="H535" i="21" s="1"/>
  <c r="G317" i="21"/>
  <c r="H434" i="21"/>
  <c r="H72" i="21"/>
  <c r="H371" i="21"/>
  <c r="H135" i="21"/>
  <c r="H462" i="21"/>
  <c r="H772" i="21"/>
  <c r="H171" i="21"/>
  <c r="H223" i="21"/>
  <c r="H213" i="21" s="1"/>
  <c r="H731" i="21"/>
  <c r="H564" i="21"/>
  <c r="H793" i="21"/>
  <c r="H777" i="21" s="1"/>
  <c r="H337" i="21"/>
  <c r="H319" i="21" s="1"/>
  <c r="H444" i="21"/>
  <c r="H256" i="21"/>
  <c r="H711" i="21"/>
  <c r="H673" i="21"/>
  <c r="H665" i="21" s="1"/>
  <c r="H130" i="21"/>
  <c r="H503" i="21"/>
  <c r="H651" i="21"/>
  <c r="H577" i="21"/>
  <c r="H87" i="21"/>
  <c r="H588" i="21"/>
  <c r="H56" i="21"/>
  <c r="H203" i="21"/>
  <c r="H180" i="21"/>
  <c r="H63" i="21"/>
  <c r="H310" i="21"/>
  <c r="H749" i="21"/>
  <c r="H381" i="21"/>
  <c r="H737" i="21"/>
  <c r="H609" i="21"/>
  <c r="H227" i="21"/>
  <c r="H298" i="21"/>
  <c r="H530" i="21"/>
  <c r="H34" i="21"/>
  <c r="H571" i="21"/>
  <c r="H141" i="21"/>
  <c r="H484" i="21"/>
  <c r="H13" i="21"/>
  <c r="H122" i="21"/>
  <c r="H470" i="21"/>
  <c r="H302" i="21"/>
  <c r="H196" i="21"/>
  <c r="H592" i="21"/>
  <c r="H40" i="21"/>
  <c r="H632" i="21"/>
  <c r="H601" i="21"/>
  <c r="H753" i="20"/>
  <c r="H738" i="20" s="1"/>
  <c r="I920" i="20"/>
  <c r="I912" i="20" s="1"/>
  <c r="I753" i="20"/>
  <c r="I738" i="20" s="1"/>
  <c r="H8" i="20" l="1"/>
  <c r="G9" i="21"/>
  <c r="H664" i="21"/>
  <c r="H92" i="21"/>
  <c r="H576" i="21"/>
  <c r="H563" i="21"/>
  <c r="H461" i="21"/>
  <c r="H195" i="21"/>
  <c r="H570" i="21"/>
  <c r="H212" i="21"/>
  <c r="H748" i="21"/>
  <c r="H55" i="21"/>
  <c r="H86" i="21"/>
  <c r="H519" i="21"/>
  <c r="H534" i="21"/>
  <c r="H771" i="21"/>
  <c r="H631" i="21"/>
  <c r="H309" i="21"/>
  <c r="H179" i="21"/>
  <c r="H433" i="21"/>
  <c r="H39" i="21"/>
  <c r="H12" i="21"/>
  <c r="H483" i="21"/>
  <c r="H33" i="21"/>
  <c r="H21" i="21"/>
  <c r="H297" i="21"/>
  <c r="H62" i="21"/>
  <c r="H587" i="21"/>
  <c r="H502" i="21"/>
  <c r="H710" i="21"/>
  <c r="H685" i="21" s="1"/>
  <c r="H361" i="21"/>
  <c r="H170" i="21"/>
  <c r="H140" i="21" s="1"/>
  <c r="H233" i="21"/>
  <c r="H85" i="21" l="1"/>
  <c r="H663" i="21"/>
  <c r="H232" i="21"/>
  <c r="H61" i="21"/>
  <c r="H11" i="21"/>
  <c r="H401" i="21"/>
  <c r="H630" i="21"/>
  <c r="H360" i="21"/>
  <c r="H575" i="21"/>
  <c r="H501" i="21"/>
  <c r="H677" i="21"/>
  <c r="H268" i="21"/>
  <c r="H569" i="21"/>
  <c r="H318" i="21"/>
  <c r="H91" i="21"/>
  <c r="H482" i="21"/>
  <c r="H743" i="21"/>
  <c r="H32" i="21"/>
  <c r="H736" i="21" l="1"/>
  <c r="H481" i="21"/>
  <c r="H600" i="21"/>
  <c r="H10" i="21"/>
  <c r="H562" i="21"/>
  <c r="H662" i="21"/>
  <c r="H469" i="21" l="1"/>
  <c r="H599" i="21"/>
  <c r="H317" i="21" l="1"/>
  <c r="H518" i="21"/>
  <c r="H9" i="21" l="1"/>
  <c r="F529" i="21" l="1"/>
  <c r="I529" i="21" s="1"/>
  <c r="F528" i="21"/>
  <c r="I528" i="21" s="1"/>
  <c r="G931" i="20"/>
  <c r="J931" i="20" s="1"/>
  <c r="G930" i="20"/>
  <c r="J930" i="20" s="1"/>
  <c r="F543" i="21" l="1"/>
  <c r="I543" i="21" s="1"/>
  <c r="G941" i="20"/>
  <c r="J941" i="20" s="1"/>
  <c r="F776" i="21" l="1"/>
  <c r="I776" i="21" s="1"/>
  <c r="G1040" i="20"/>
  <c r="J1040" i="20" s="1"/>
  <c r="F517" i="21" l="1"/>
  <c r="I517" i="21" s="1"/>
  <c r="F54" i="21"/>
  <c r="I54" i="21" s="1"/>
  <c r="F19" i="21"/>
  <c r="G1051" i="20"/>
  <c r="G1050" i="20" s="1"/>
  <c r="F18" i="21" l="1"/>
  <c r="I18" i="21" s="1"/>
  <c r="I19" i="21"/>
  <c r="J1051" i="20"/>
  <c r="J1050" i="20"/>
  <c r="I305" i="21"/>
  <c r="J557" i="20"/>
  <c r="I607" i="21" l="1"/>
  <c r="J981" i="20"/>
  <c r="I603" i="21"/>
  <c r="I162" i="21"/>
  <c r="J873" i="20"/>
  <c r="I498" i="21"/>
  <c r="I437" i="21"/>
  <c r="I301" i="21"/>
  <c r="I370" i="21"/>
  <c r="I443" i="21"/>
  <c r="I384" i="21"/>
  <c r="I349" i="21"/>
  <c r="I336" i="21"/>
  <c r="I374" i="21"/>
  <c r="I326" i="21"/>
  <c r="J819" i="20"/>
  <c r="J785" i="20"/>
  <c r="J799" i="20"/>
  <c r="J752" i="20"/>
  <c r="J825" i="20"/>
  <c r="J813" i="20"/>
  <c r="J762" i="20"/>
  <c r="J759" i="20"/>
  <c r="I580" i="21"/>
  <c r="I692" i="21"/>
  <c r="I700" i="21"/>
  <c r="I703" i="21"/>
  <c r="I669" i="21"/>
  <c r="I689" i="21"/>
  <c r="I676" i="21"/>
  <c r="J399" i="20"/>
  <c r="J429" i="20"/>
  <c r="J435" i="20"/>
  <c r="J438" i="20"/>
  <c r="J413" i="20"/>
  <c r="J977" i="20" l="1"/>
  <c r="I650" i="21"/>
  <c r="I394" i="21"/>
  <c r="J632" i="20"/>
  <c r="J580" i="20"/>
  <c r="I644" i="21"/>
  <c r="I388" i="21"/>
  <c r="J574" i="20"/>
  <c r="I46" i="21" l="1"/>
  <c r="I429" i="21"/>
  <c r="I423" i="21"/>
  <c r="I420" i="21"/>
  <c r="J494" i="20"/>
  <c r="I262" i="21" l="1"/>
  <c r="I260" i="21"/>
  <c r="I129" i="21"/>
  <c r="J322" i="20"/>
  <c r="I313" i="21"/>
  <c r="I96" i="21"/>
  <c r="J69" i="20"/>
  <c r="I108" i="21"/>
  <c r="J81" i="20"/>
  <c r="I815" i="21"/>
  <c r="J187" i="20"/>
  <c r="I159" i="21" l="1"/>
  <c r="J57" i="20"/>
  <c r="F672" i="21" l="1"/>
  <c r="I672" i="21" s="1"/>
  <c r="J420" i="20"/>
  <c r="F200" i="21"/>
  <c r="I200" i="21" s="1"/>
  <c r="F202" i="21"/>
  <c r="I202" i="21" s="1"/>
  <c r="G121" i="20"/>
  <c r="J121" i="20" s="1"/>
  <c r="G919" i="20"/>
  <c r="J919" i="20" s="1"/>
  <c r="F808" i="21"/>
  <c r="F734" i="21"/>
  <c r="F660" i="21"/>
  <c r="F516" i="21"/>
  <c r="F230" i="21"/>
  <c r="F83" i="21"/>
  <c r="F53" i="21"/>
  <c r="G1022" i="20"/>
  <c r="G1021" i="20" s="1"/>
  <c r="G894" i="20"/>
  <c r="G893" i="20" s="1"/>
  <c r="G866" i="20"/>
  <c r="G865" i="20" s="1"/>
  <c r="G850" i="20"/>
  <c r="G849" i="20" s="1"/>
  <c r="G848" i="20" s="1"/>
  <c r="G847" i="20" s="1"/>
  <c r="G710" i="20"/>
  <c r="G709" i="20" s="1"/>
  <c r="G668" i="20"/>
  <c r="G667" i="20" s="1"/>
  <c r="G614" i="20"/>
  <c r="G613" i="20" s="1"/>
  <c r="G534" i="20"/>
  <c r="G533" i="20" s="1"/>
  <c r="G532" i="20" s="1"/>
  <c r="G531" i="20" s="1"/>
  <c r="G347" i="20"/>
  <c r="G346" i="20" s="1"/>
  <c r="G345" i="20" s="1"/>
  <c r="G344" i="20" s="1"/>
  <c r="G310" i="20"/>
  <c r="G309" i="20" s="1"/>
  <c r="G308" i="20" s="1"/>
  <c r="G307" i="20" s="1"/>
  <c r="G247" i="20"/>
  <c r="G246" i="20" s="1"/>
  <c r="G205" i="20"/>
  <c r="G204" i="20" s="1"/>
  <c r="G29" i="20"/>
  <c r="F515" i="21" l="1"/>
  <c r="I515" i="21" s="1"/>
  <c r="I516" i="21"/>
  <c r="F52" i="21"/>
  <c r="I52" i="21" s="1"/>
  <c r="I53" i="21"/>
  <c r="F659" i="21"/>
  <c r="I659" i="21" s="1"/>
  <c r="I660" i="21"/>
  <c r="F82" i="21"/>
  <c r="I82" i="21" s="1"/>
  <c r="I83" i="21"/>
  <c r="F733" i="21"/>
  <c r="I734" i="21"/>
  <c r="F229" i="21"/>
  <c r="I230" i="21"/>
  <c r="F807" i="21"/>
  <c r="I808" i="21"/>
  <c r="J668" i="20"/>
  <c r="J866" i="20"/>
  <c r="J310" i="20"/>
  <c r="J614" i="20"/>
  <c r="J247" i="20"/>
  <c r="J534" i="20"/>
  <c r="J850" i="20"/>
  <c r="J205" i="20"/>
  <c r="J450" i="20"/>
  <c r="J710" i="20"/>
  <c r="J1022" i="20"/>
  <c r="G28" i="20"/>
  <c r="J28" i="20" s="1"/>
  <c r="J29" i="20"/>
  <c r="J347" i="20"/>
  <c r="J894" i="20"/>
  <c r="J246" i="20"/>
  <c r="J533" i="20"/>
  <c r="J849" i="20"/>
  <c r="J309" i="20"/>
  <c r="J204" i="20"/>
  <c r="J709" i="20"/>
  <c r="J1021" i="20"/>
  <c r="J613" i="20"/>
  <c r="J865" i="20"/>
  <c r="J449" i="20"/>
  <c r="J346" i="20"/>
  <c r="J667" i="20"/>
  <c r="J893" i="20"/>
  <c r="I613" i="21"/>
  <c r="I622" i="21"/>
  <c r="I615" i="21"/>
  <c r="J987" i="20"/>
  <c r="J996" i="20"/>
  <c r="J989" i="20"/>
  <c r="I490" i="21"/>
  <c r="I487" i="21"/>
  <c r="I352" i="21"/>
  <c r="J836" i="20"/>
  <c r="J788" i="20"/>
  <c r="J744" i="20"/>
  <c r="F228" i="21" l="1"/>
  <c r="I229" i="21"/>
  <c r="F806" i="21"/>
  <c r="I807" i="21"/>
  <c r="F732" i="21"/>
  <c r="I733" i="21"/>
  <c r="J345" i="20"/>
  <c r="J308" i="20"/>
  <c r="J532" i="20"/>
  <c r="J448" i="20"/>
  <c r="J848" i="20"/>
  <c r="I492" i="21"/>
  <c r="J838" i="20"/>
  <c r="F805" i="21" l="1"/>
  <c r="I805" i="21" s="1"/>
  <c r="I806" i="21"/>
  <c r="F731" i="21"/>
  <c r="I731" i="21" s="1"/>
  <c r="I732" i="21"/>
  <c r="F227" i="21"/>
  <c r="I227" i="21" s="1"/>
  <c r="I228" i="21"/>
  <c r="J447" i="20"/>
  <c r="J307" i="20"/>
  <c r="J847" i="20"/>
  <c r="J531" i="20"/>
  <c r="J344" i="20"/>
  <c r="I496" i="21"/>
  <c r="I802" i="21" l="1"/>
  <c r="I799" i="21"/>
  <c r="J304" i="20"/>
  <c r="J301" i="20"/>
  <c r="I465" i="21" l="1"/>
  <c r="J243" i="20"/>
  <c r="J267" i="20"/>
  <c r="F440" i="21" l="1"/>
  <c r="I440" i="21" s="1"/>
  <c r="G822" i="20"/>
  <c r="J822" i="20" s="1"/>
  <c r="F727" i="21" l="1"/>
  <c r="I727" i="21" s="1"/>
  <c r="I43" i="21"/>
  <c r="G644" i="20"/>
  <c r="J644" i="20" s="1"/>
  <c r="F638" i="21" l="1"/>
  <c r="I638" i="21" s="1"/>
  <c r="F635" i="21"/>
  <c r="I635" i="21" s="1"/>
  <c r="F627" i="21"/>
  <c r="I627" i="21" s="1"/>
  <c r="F608" i="21"/>
  <c r="I608" i="21" s="1"/>
  <c r="F568" i="21"/>
  <c r="I568" i="21" s="1"/>
  <c r="F540" i="21"/>
  <c r="I540" i="21" s="1"/>
  <c r="F539" i="21"/>
  <c r="I539" i="21" s="1"/>
  <c r="F525" i="21"/>
  <c r="I525" i="21" s="1"/>
  <c r="F524" i="21"/>
  <c r="I524" i="21" s="1"/>
  <c r="G1012" i="20"/>
  <c r="J1012" i="20" s="1"/>
  <c r="G1009" i="20"/>
  <c r="G1001" i="20"/>
  <c r="J1001" i="20" s="1"/>
  <c r="G982" i="20"/>
  <c r="J982" i="20" s="1"/>
  <c r="G966" i="20"/>
  <c r="G965" i="20"/>
  <c r="J965" i="20" s="1"/>
  <c r="G938" i="20"/>
  <c r="J938" i="20" s="1"/>
  <c r="G937" i="20"/>
  <c r="G927" i="20"/>
  <c r="G926" i="20"/>
  <c r="J926" i="20" s="1"/>
  <c r="G890" i="20"/>
  <c r="J890" i="20" s="1"/>
  <c r="G887" i="20"/>
  <c r="G872" i="20"/>
  <c r="G871" i="20" s="1"/>
  <c r="F396" i="21"/>
  <c r="G582" i="20"/>
  <c r="G581" i="20" s="1"/>
  <c r="F447" i="21"/>
  <c r="I447" i="21" s="1"/>
  <c r="G591" i="20"/>
  <c r="F729" i="21"/>
  <c r="G646" i="20"/>
  <c r="G645" i="20" s="1"/>
  <c r="I506" i="21"/>
  <c r="J604" i="20"/>
  <c r="F511" i="21"/>
  <c r="I511" i="21" s="1"/>
  <c r="G609" i="20"/>
  <c r="J609" i="20" s="1"/>
  <c r="F728" i="21" l="1"/>
  <c r="I728" i="21" s="1"/>
  <c r="I729" i="21"/>
  <c r="F395" i="21"/>
  <c r="I395" i="21" s="1"/>
  <c r="I396" i="21"/>
  <c r="J646" i="20"/>
  <c r="J872" i="20"/>
  <c r="J582" i="20"/>
  <c r="J645" i="20"/>
  <c r="J581" i="20"/>
  <c r="J871" i="20"/>
  <c r="G870" i="20"/>
  <c r="G869" i="20" s="1"/>
  <c r="G868" i="20" s="1"/>
  <c r="J870" i="20" l="1"/>
  <c r="F475" i="21"/>
  <c r="I475" i="21" s="1"/>
  <c r="G525" i="20"/>
  <c r="F715" i="21"/>
  <c r="I715" i="21" s="1"/>
  <c r="F574" i="21"/>
  <c r="I574" i="21" s="1"/>
  <c r="F226" i="21"/>
  <c r="I226" i="21" s="1"/>
  <c r="G343" i="20"/>
  <c r="J343" i="20" s="1"/>
  <c r="G703" i="20"/>
  <c r="J703" i="20" s="1"/>
  <c r="G240" i="20"/>
  <c r="J240" i="20" s="1"/>
  <c r="G661" i="20"/>
  <c r="J661" i="20" s="1"/>
  <c r="F147" i="21"/>
  <c r="I147" i="21" s="1"/>
  <c r="F145" i="21"/>
  <c r="I145" i="21" s="1"/>
  <c r="G45" i="20"/>
  <c r="G43" i="20"/>
  <c r="J43" i="20" s="1"/>
  <c r="J869" i="20" l="1"/>
  <c r="F48" i="21"/>
  <c r="I48" i="21" s="1"/>
  <c r="J868" i="20" l="1"/>
  <c r="F742" i="21"/>
  <c r="I742" i="21" s="1"/>
  <c r="G162" i="20"/>
  <c r="J162" i="20" s="1"/>
  <c r="F154" i="21"/>
  <c r="I154" i="21" s="1"/>
  <c r="G52" i="20"/>
  <c r="J52" i="20" s="1"/>
  <c r="F152" i="21" l="1"/>
  <c r="I152" i="21" s="1"/>
  <c r="G50" i="20"/>
  <c r="J50" i="20" s="1"/>
  <c r="F168" i="21" l="1"/>
  <c r="G63" i="20"/>
  <c r="G62" i="20" s="1"/>
  <c r="F167" i="21" l="1"/>
  <c r="I167" i="21" s="1"/>
  <c r="I168" i="21"/>
  <c r="J63" i="20"/>
  <c r="J62" i="20"/>
  <c r="F417" i="21"/>
  <c r="I417" i="21" s="1"/>
  <c r="F699" i="21"/>
  <c r="G491" i="20"/>
  <c r="J491" i="20" s="1"/>
  <c r="J434" i="20"/>
  <c r="F656" i="21"/>
  <c r="F653" i="21" s="1"/>
  <c r="G1018" i="20"/>
  <c r="G1017" i="20" s="1"/>
  <c r="F698" i="21" l="1"/>
  <c r="I698" i="21" s="1"/>
  <c r="I699" i="21"/>
  <c r="I653" i="21"/>
  <c r="I656" i="21"/>
  <c r="J1018" i="20"/>
  <c r="J433" i="20"/>
  <c r="J1017" i="20"/>
  <c r="G1016" i="20"/>
  <c r="G1015" i="20" s="1"/>
  <c r="F652" i="21" l="1"/>
  <c r="J1016" i="20"/>
  <c r="I509" i="21"/>
  <c r="J607" i="20"/>
  <c r="I163" i="21"/>
  <c r="F453" i="21"/>
  <c r="I453" i="21" s="1"/>
  <c r="G597" i="20"/>
  <c r="J597" i="20" s="1"/>
  <c r="G550" i="20"/>
  <c r="G549" i="20" s="1"/>
  <c r="G548" i="20" s="1"/>
  <c r="G547" i="20" s="1"/>
  <c r="G546" i="20" s="1"/>
  <c r="F426" i="21"/>
  <c r="I426" i="21" s="1"/>
  <c r="F408" i="21"/>
  <c r="I408" i="21" s="1"/>
  <c r="G500" i="20"/>
  <c r="J500" i="20" s="1"/>
  <c r="G482" i="20"/>
  <c r="J482" i="20" s="1"/>
  <c r="F718" i="21"/>
  <c r="I718" i="21" s="1"/>
  <c r="F720" i="21"/>
  <c r="I720" i="21" s="1"/>
  <c r="F240" i="21"/>
  <c r="I240" i="21" s="1"/>
  <c r="F128" i="21"/>
  <c r="F125" i="21"/>
  <c r="G357" i="20"/>
  <c r="J357" i="20" s="1"/>
  <c r="G318" i="20"/>
  <c r="G317" i="20" s="1"/>
  <c r="G321" i="20"/>
  <c r="G320" i="20" s="1"/>
  <c r="G110" i="20"/>
  <c r="J110" i="20" s="1"/>
  <c r="G112" i="20"/>
  <c r="J112" i="20" s="1"/>
  <c r="F189" i="21"/>
  <c r="I189" i="21" s="1"/>
  <c r="F191" i="21"/>
  <c r="I191" i="21" s="1"/>
  <c r="F127" i="21" l="1"/>
  <c r="I127" i="21" s="1"/>
  <c r="I128" i="21"/>
  <c r="F124" i="21"/>
  <c r="I124" i="21" s="1"/>
  <c r="I125" i="21"/>
  <c r="F651" i="21"/>
  <c r="I651" i="21" s="1"/>
  <c r="I652" i="21"/>
  <c r="J321" i="20"/>
  <c r="J550" i="20"/>
  <c r="J318" i="20"/>
  <c r="J320" i="20"/>
  <c r="J549" i="20"/>
  <c r="J317" i="20"/>
  <c r="J1015" i="20"/>
  <c r="G316" i="20"/>
  <c r="G315" i="20" s="1"/>
  <c r="F166" i="21"/>
  <c r="G900" i="20"/>
  <c r="G899" i="20" s="1"/>
  <c r="G904" i="20"/>
  <c r="J904" i="20" s="1"/>
  <c r="F123" i="21" l="1"/>
  <c r="F165" i="21"/>
  <c r="I166" i="21"/>
  <c r="J900" i="20"/>
  <c r="J316" i="20"/>
  <c r="J899" i="20"/>
  <c r="J315" i="20"/>
  <c r="J548" i="20"/>
  <c r="F821" i="21"/>
  <c r="I821" i="21" s="1"/>
  <c r="G879" i="20"/>
  <c r="F164" i="21" l="1"/>
  <c r="I164" i="21" s="1"/>
  <c r="I165" i="21"/>
  <c r="F122" i="21"/>
  <c r="I122" i="21" s="1"/>
  <c r="I123" i="21"/>
  <c r="J547" i="20"/>
  <c r="J372" i="20"/>
  <c r="J546" i="20" l="1"/>
  <c r="F769" i="21" l="1"/>
  <c r="F90" i="21"/>
  <c r="I90" i="21" s="1"/>
  <c r="F201" i="21"/>
  <c r="I201" i="21" s="1"/>
  <c r="F199" i="21"/>
  <c r="I199" i="21" s="1"/>
  <c r="G918" i="20"/>
  <c r="G917" i="20" s="1"/>
  <c r="G916" i="20" s="1"/>
  <c r="G915" i="20" s="1"/>
  <c r="G914" i="20" s="1"/>
  <c r="G913" i="20" s="1"/>
  <c r="G120" i="20"/>
  <c r="G119" i="20" s="1"/>
  <c r="G118" i="20" s="1"/>
  <c r="G117" i="20" s="1"/>
  <c r="G116" i="20" s="1"/>
  <c r="G176" i="20"/>
  <c r="G175" i="20" s="1"/>
  <c r="J36" i="20"/>
  <c r="F768" i="21" l="1"/>
  <c r="I768" i="21" s="1"/>
  <c r="I769" i="21"/>
  <c r="J176" i="20"/>
  <c r="J120" i="20"/>
  <c r="J918" i="20"/>
  <c r="J175" i="20"/>
  <c r="J119" i="20"/>
  <c r="J917" i="20"/>
  <c r="F198" i="21"/>
  <c r="F197" i="21" l="1"/>
  <c r="I198" i="21"/>
  <c r="J118" i="20"/>
  <c r="J916" i="20"/>
  <c r="F405" i="21"/>
  <c r="I405" i="21" s="1"/>
  <c r="F111" i="21"/>
  <c r="I111" i="21" s="1"/>
  <c r="G479" i="20"/>
  <c r="G84" i="20"/>
  <c r="J84" i="20" s="1"/>
  <c r="F196" i="21" l="1"/>
  <c r="I197" i="21"/>
  <c r="J915" i="20"/>
  <c r="J117" i="20"/>
  <c r="F467" i="21"/>
  <c r="G517" i="20"/>
  <c r="G516" i="20" s="1"/>
  <c r="G515" i="20" s="1"/>
  <c r="G514" i="20" s="1"/>
  <c r="F466" i="21" l="1"/>
  <c r="I466" i="21" s="1"/>
  <c r="I467" i="21"/>
  <c r="F195" i="21"/>
  <c r="I195" i="21" s="1"/>
  <c r="I196" i="21"/>
  <c r="J517" i="20"/>
  <c r="J516" i="20"/>
  <c r="J116" i="20"/>
  <c r="J914" i="20"/>
  <c r="I69" i="21"/>
  <c r="G1083" i="20"/>
  <c r="J1083" i="20" s="1"/>
  <c r="G1089" i="20"/>
  <c r="G1088" i="20" s="1"/>
  <c r="G1087" i="20" s="1"/>
  <c r="G1086" i="20" s="1"/>
  <c r="F567" i="21"/>
  <c r="I567" i="21" s="1"/>
  <c r="F26" i="21"/>
  <c r="I26" i="21" s="1"/>
  <c r="F29" i="21"/>
  <c r="I29" i="21" s="1"/>
  <c r="G1058" i="20"/>
  <c r="G1061" i="20"/>
  <c r="J1061" i="20" s="1"/>
  <c r="F781" i="21"/>
  <c r="G652" i="20"/>
  <c r="G651" i="20" s="1"/>
  <c r="G650" i="20" s="1"/>
  <c r="F31" i="21"/>
  <c r="I31" i="21" s="1"/>
  <c r="G1063" i="20"/>
  <c r="J1063" i="20" s="1"/>
  <c r="F554" i="21"/>
  <c r="G952" i="20"/>
  <c r="G951" i="20" s="1"/>
  <c r="F752" i="21"/>
  <c r="G1030" i="20"/>
  <c r="J1030" i="20" s="1"/>
  <c r="F761" i="21"/>
  <c r="I761" i="21" s="1"/>
  <c r="G168" i="20"/>
  <c r="J168" i="20" s="1"/>
  <c r="J1089" i="20" l="1"/>
  <c r="F751" i="21"/>
  <c r="I751" i="21" s="1"/>
  <c r="I752" i="21"/>
  <c r="F553" i="21"/>
  <c r="I553" i="21" s="1"/>
  <c r="I554" i="21"/>
  <c r="F780" i="21"/>
  <c r="I781" i="21"/>
  <c r="J952" i="20"/>
  <c r="J652" i="20"/>
  <c r="J651" i="20"/>
  <c r="J951" i="20"/>
  <c r="J1088" i="20"/>
  <c r="G1029" i="20"/>
  <c r="J1029" i="20" s="1"/>
  <c r="J913" i="20"/>
  <c r="J515" i="20"/>
  <c r="F779" i="21" l="1"/>
  <c r="I779" i="21" s="1"/>
  <c r="I780" i="21"/>
  <c r="J514" i="20"/>
  <c r="J1087" i="20"/>
  <c r="J650" i="20"/>
  <c r="G1071" i="20"/>
  <c r="G1070" i="20" s="1"/>
  <c r="J1071" i="20" l="1"/>
  <c r="J431" i="20"/>
  <c r="J1086" i="20"/>
  <c r="J1070" i="20"/>
  <c r="F696" i="21"/>
  <c r="F693" i="21" s="1"/>
  <c r="I696" i="21" l="1"/>
  <c r="F544" i="21" l="1"/>
  <c r="I544" i="21" s="1"/>
  <c r="G942" i="20"/>
  <c r="J942" i="20" s="1"/>
  <c r="F114" i="21" l="1"/>
  <c r="I114" i="21" s="1"/>
  <c r="G87" i="20"/>
  <c r="J87" i="20" s="1"/>
  <c r="G706" i="20"/>
  <c r="J706" i="20" s="1"/>
  <c r="G664" i="20"/>
  <c r="J664" i="20" s="1"/>
  <c r="G198" i="20"/>
  <c r="J198" i="20" s="1"/>
  <c r="G195" i="20"/>
  <c r="J195" i="20" s="1"/>
  <c r="F726" i="21" l="1"/>
  <c r="G643" i="20"/>
  <c r="G642" i="20" s="1"/>
  <c r="F725" i="21" l="1"/>
  <c r="I725" i="21" s="1"/>
  <c r="I726" i="21"/>
  <c r="J643" i="20"/>
  <c r="J642" i="20"/>
  <c r="G649" i="20"/>
  <c r="G648" i="20" s="1"/>
  <c r="F480" i="21"/>
  <c r="I480" i="21" s="1"/>
  <c r="F478" i="21"/>
  <c r="I478" i="21" s="1"/>
  <c r="G530" i="20"/>
  <c r="J530" i="20" s="1"/>
  <c r="G528" i="20"/>
  <c r="F596" i="21"/>
  <c r="I596" i="21" s="1"/>
  <c r="F597" i="21"/>
  <c r="I597" i="21" s="1"/>
  <c r="G971" i="20"/>
  <c r="G970" i="20" s="1"/>
  <c r="G969" i="20" s="1"/>
  <c r="G968" i="20" s="1"/>
  <c r="G967" i="20" s="1"/>
  <c r="G737" i="20"/>
  <c r="J737" i="20" s="1"/>
  <c r="G695" i="20"/>
  <c r="J695" i="20" s="1"/>
  <c r="G274" i="20"/>
  <c r="J274" i="20" s="1"/>
  <c r="G232" i="20"/>
  <c r="J232" i="20" s="1"/>
  <c r="F760" i="21"/>
  <c r="G167" i="20"/>
  <c r="G166" i="20" s="1"/>
  <c r="F759" i="21" l="1"/>
  <c r="I759" i="21" s="1"/>
  <c r="I760" i="21"/>
  <c r="J971" i="20"/>
  <c r="J167" i="20"/>
  <c r="J649" i="20"/>
  <c r="J648" i="20"/>
  <c r="J166" i="20"/>
  <c r="J970" i="20"/>
  <c r="F457" i="21"/>
  <c r="I457" i="21" s="1"/>
  <c r="G510" i="20"/>
  <c r="J510" i="20" s="1"/>
  <c r="J969" i="20" l="1"/>
  <c r="F787" i="21"/>
  <c r="I787" i="21" s="1"/>
  <c r="F591" i="21"/>
  <c r="I591" i="21" s="1"/>
  <c r="G289" i="20"/>
  <c r="J289" i="20" s="1"/>
  <c r="G282" i="20"/>
  <c r="J282" i="20" s="1"/>
  <c r="J968" i="20" l="1"/>
  <c r="F239" i="21"/>
  <c r="G356" i="20"/>
  <c r="G355" i="20" s="1"/>
  <c r="F238" i="21" l="1"/>
  <c r="I238" i="21" s="1"/>
  <c r="I239" i="21"/>
  <c r="J356" i="20"/>
  <c r="J355" i="20"/>
  <c r="J967" i="20"/>
  <c r="F346" i="21"/>
  <c r="I346" i="21" s="1"/>
  <c r="G782" i="20"/>
  <c r="J782" i="20" s="1"/>
  <c r="F177" i="21" l="1"/>
  <c r="F175" i="21"/>
  <c r="G1069" i="20"/>
  <c r="J1069" i="20" s="1"/>
  <c r="F174" i="21" l="1"/>
  <c r="I175" i="21"/>
  <c r="F176" i="21"/>
  <c r="I176" i="21" s="1"/>
  <c r="I177" i="21"/>
  <c r="F173" i="21" l="1"/>
  <c r="I174" i="21"/>
  <c r="F312" i="21"/>
  <c r="J155" i="20"/>
  <c r="G154" i="20"/>
  <c r="G326" i="20"/>
  <c r="G325" i="20" s="1"/>
  <c r="G324" i="20" s="1"/>
  <c r="G323" i="20" s="1"/>
  <c r="G314" i="20" s="1"/>
  <c r="G313" i="20" s="1"/>
  <c r="F311" i="21" l="1"/>
  <c r="I311" i="21" s="1"/>
  <c r="I312" i="21"/>
  <c r="I173" i="21"/>
  <c r="F172" i="21"/>
  <c r="J326" i="20"/>
  <c r="J154" i="20"/>
  <c r="J325" i="20"/>
  <c r="G153" i="20"/>
  <c r="G152" i="20" s="1"/>
  <c r="G60" i="20"/>
  <c r="J60" i="20" s="1"/>
  <c r="F513" i="21"/>
  <c r="F50" i="21"/>
  <c r="G611" i="20"/>
  <c r="G610" i="20" s="1"/>
  <c r="G202" i="20"/>
  <c r="G201" i="20" s="1"/>
  <c r="F512" i="21" l="1"/>
  <c r="I512" i="21" s="1"/>
  <c r="I513" i="21"/>
  <c r="F171" i="21"/>
  <c r="I172" i="21"/>
  <c r="F49" i="21"/>
  <c r="I49" i="21" s="1"/>
  <c r="I50" i="21"/>
  <c r="J202" i="20"/>
  <c r="J611" i="20"/>
  <c r="J324" i="20"/>
  <c r="J610" i="20"/>
  <c r="J201" i="20"/>
  <c r="J153" i="20"/>
  <c r="I171" i="21" l="1"/>
  <c r="F170" i="21"/>
  <c r="I170" i="21" s="1"/>
  <c r="J152" i="20"/>
  <c r="J323" i="20"/>
  <c r="F237" i="21"/>
  <c r="I237" i="21" s="1"/>
  <c r="G354" i="20"/>
  <c r="J354" i="20" s="1"/>
  <c r="F340" i="21"/>
  <c r="I340" i="21" s="1"/>
  <c r="G776" i="20"/>
  <c r="J776" i="20" s="1"/>
  <c r="F450" i="21"/>
  <c r="I450" i="21" s="1"/>
  <c r="G594" i="20"/>
  <c r="J594" i="20" s="1"/>
  <c r="J314" i="20" l="1"/>
  <c r="G384" i="20"/>
  <c r="J384" i="20" s="1"/>
  <c r="F267" i="21"/>
  <c r="I267" i="21" s="1"/>
  <c r="J313" i="20" l="1"/>
  <c r="G949" i="20"/>
  <c r="G948" i="20" s="1"/>
  <c r="G947" i="20" s="1"/>
  <c r="G944" i="20"/>
  <c r="G943" i="20" s="1"/>
  <c r="F551" i="21"/>
  <c r="F546" i="21"/>
  <c r="J949" i="20" l="1"/>
  <c r="F545" i="21"/>
  <c r="I545" i="21" s="1"/>
  <c r="I546" i="21"/>
  <c r="F550" i="21"/>
  <c r="I550" i="21" s="1"/>
  <c r="I551" i="21"/>
  <c r="J944" i="20"/>
  <c r="J943" i="20"/>
  <c r="J948" i="20"/>
  <c r="F549" i="21" l="1"/>
  <c r="I549" i="21" s="1"/>
  <c r="J947" i="20"/>
  <c r="J803" i="20" l="1"/>
  <c r="J479" i="20"/>
  <c r="J45" i="20" l="1"/>
  <c r="J879" i="20"/>
  <c r="J503" i="20"/>
  <c r="F820" i="21" l="1"/>
  <c r="F814" i="21"/>
  <c r="F803" i="21"/>
  <c r="I803" i="21" s="1"/>
  <c r="F801" i="21"/>
  <c r="I801" i="21" s="1"/>
  <c r="F798" i="21"/>
  <c r="F792" i="21"/>
  <c r="F786" i="21"/>
  <c r="F775" i="21"/>
  <c r="F766" i="21"/>
  <c r="F763" i="21"/>
  <c r="F755" i="21"/>
  <c r="F750" i="21"/>
  <c r="I750" i="21" s="1"/>
  <c r="F746" i="21"/>
  <c r="F741" i="21"/>
  <c r="F723" i="21"/>
  <c r="F719" i="21"/>
  <c r="I719" i="21" s="1"/>
  <c r="F717" i="21"/>
  <c r="I717" i="21" s="1"/>
  <c r="F714" i="21"/>
  <c r="F705" i="21"/>
  <c r="F702" i="21"/>
  <c r="F691" i="21"/>
  <c r="F688" i="21"/>
  <c r="F683" i="21"/>
  <c r="F680" i="21"/>
  <c r="F675" i="21"/>
  <c r="F671" i="21"/>
  <c r="F668" i="21"/>
  <c r="F649" i="21"/>
  <c r="F646" i="21"/>
  <c r="F643" i="21"/>
  <c r="F639" i="21"/>
  <c r="I639" i="21" s="1"/>
  <c r="F637" i="21"/>
  <c r="I637" i="21" s="1"/>
  <c r="F634" i="21"/>
  <c r="F628" i="21"/>
  <c r="I628" i="21" s="1"/>
  <c r="F626" i="21"/>
  <c r="I626" i="21" s="1"/>
  <c r="F624" i="21"/>
  <c r="I624" i="21" s="1"/>
  <c r="F621" i="21"/>
  <c r="I621" i="21" s="1"/>
  <c r="F619" i="21"/>
  <c r="I619" i="21" s="1"/>
  <c r="F616" i="21"/>
  <c r="I616" i="21" s="1"/>
  <c r="F614" i="21"/>
  <c r="I614" i="21" s="1"/>
  <c r="F612" i="21"/>
  <c r="I612" i="21" s="1"/>
  <c r="F606" i="21"/>
  <c r="F602" i="21"/>
  <c r="I602" i="21" s="1"/>
  <c r="F595" i="21"/>
  <c r="I595" i="21" s="1"/>
  <c r="F590" i="21"/>
  <c r="F585" i="21"/>
  <c r="F582" i="21"/>
  <c r="F579" i="21"/>
  <c r="F573" i="21"/>
  <c r="F566" i="21"/>
  <c r="F559" i="21"/>
  <c r="F542" i="21"/>
  <c r="F538" i="21"/>
  <c r="F533" i="21"/>
  <c r="F527" i="21"/>
  <c r="F510" i="21"/>
  <c r="I510" i="21" s="1"/>
  <c r="F508" i="21"/>
  <c r="I508" i="21" s="1"/>
  <c r="F505" i="21"/>
  <c r="F497" i="21"/>
  <c r="I497" i="21" s="1"/>
  <c r="F495" i="21"/>
  <c r="I495" i="21" s="1"/>
  <c r="F491" i="21"/>
  <c r="I491" i="21" s="1"/>
  <c r="F489" i="21"/>
  <c r="I489" i="21" s="1"/>
  <c r="F486" i="21"/>
  <c r="F479" i="21"/>
  <c r="I479" i="21" s="1"/>
  <c r="F477" i="21"/>
  <c r="I477" i="21" s="1"/>
  <c r="F474" i="21"/>
  <c r="F459" i="21"/>
  <c r="F456" i="21"/>
  <c r="F464" i="21"/>
  <c r="F452" i="21"/>
  <c r="F449" i="21"/>
  <c r="F446" i="21"/>
  <c r="F442" i="21"/>
  <c r="F439" i="21"/>
  <c r="F436" i="21"/>
  <c r="F431" i="21"/>
  <c r="F428" i="21"/>
  <c r="F425" i="21"/>
  <c r="F422" i="21"/>
  <c r="F419" i="21"/>
  <c r="F416" i="21"/>
  <c r="F413" i="21"/>
  <c r="F410" i="21"/>
  <c r="F407" i="21"/>
  <c r="F404" i="21"/>
  <c r="F393" i="21"/>
  <c r="F390" i="21"/>
  <c r="F387" i="21"/>
  <c r="F383" i="21"/>
  <c r="F379" i="21"/>
  <c r="F375" i="21"/>
  <c r="I375" i="21" s="1"/>
  <c r="F373" i="21"/>
  <c r="I373" i="21" s="1"/>
  <c r="F369" i="21"/>
  <c r="F366" i="21"/>
  <c r="I366" i="21" s="1"/>
  <c r="F364" i="21"/>
  <c r="I364" i="21" s="1"/>
  <c r="F358" i="21"/>
  <c r="F355" i="21"/>
  <c r="F351" i="21"/>
  <c r="F348" i="21"/>
  <c r="F345" i="21"/>
  <c r="F342" i="21"/>
  <c r="F339" i="21"/>
  <c r="F335" i="21"/>
  <c r="F332" i="21"/>
  <c r="F329" i="21"/>
  <c r="F325" i="21"/>
  <c r="F315" i="21"/>
  <c r="F307" i="21"/>
  <c r="F304" i="21"/>
  <c r="F300" i="21"/>
  <c r="F295" i="21"/>
  <c r="F292" i="21"/>
  <c r="F289" i="21"/>
  <c r="F286" i="21"/>
  <c r="F283" i="21"/>
  <c r="F280" i="21"/>
  <c r="F277" i="21"/>
  <c r="F274" i="21"/>
  <c r="F271" i="21"/>
  <c r="F266" i="21"/>
  <c r="F263" i="21"/>
  <c r="I263" i="21" s="1"/>
  <c r="F261" i="21"/>
  <c r="I261" i="21" s="1"/>
  <c r="F259" i="21"/>
  <c r="I259" i="21" s="1"/>
  <c r="F254" i="21"/>
  <c r="F251" i="21"/>
  <c r="F248" i="21"/>
  <c r="F245" i="21"/>
  <c r="F236" i="21"/>
  <c r="F225" i="21"/>
  <c r="F221" i="21"/>
  <c r="I221" i="21" s="1"/>
  <c r="F219" i="21"/>
  <c r="I219" i="21" s="1"/>
  <c r="F216" i="21"/>
  <c r="F210" i="21"/>
  <c r="I210" i="21" s="1"/>
  <c r="F208" i="21"/>
  <c r="I208" i="21" s="1"/>
  <c r="F206" i="21"/>
  <c r="I206" i="21" s="1"/>
  <c r="F192" i="21"/>
  <c r="I192" i="21" s="1"/>
  <c r="F190" i="21"/>
  <c r="I190" i="21" s="1"/>
  <c r="F188" i="21"/>
  <c r="I188" i="21" s="1"/>
  <c r="F184" i="21"/>
  <c r="F138" i="21"/>
  <c r="F133" i="21"/>
  <c r="F120" i="21"/>
  <c r="F117" i="21"/>
  <c r="F113" i="21"/>
  <c r="F110" i="21"/>
  <c r="F107" i="21"/>
  <c r="F104" i="21"/>
  <c r="F101" i="21"/>
  <c r="F98" i="21"/>
  <c r="F95" i="21"/>
  <c r="J426" i="20"/>
  <c r="F158" i="21"/>
  <c r="F155" i="21"/>
  <c r="I155" i="21" s="1"/>
  <c r="F153" i="21"/>
  <c r="I153" i="21" s="1"/>
  <c r="F151" i="21"/>
  <c r="I151" i="21" s="1"/>
  <c r="F148" i="21"/>
  <c r="I148" i="21" s="1"/>
  <c r="F146" i="21"/>
  <c r="I146" i="21" s="1"/>
  <c r="F144" i="21"/>
  <c r="I144" i="21" s="1"/>
  <c r="F89" i="21"/>
  <c r="F80" i="21"/>
  <c r="I80" i="21" s="1"/>
  <c r="F70" i="21"/>
  <c r="I70" i="21" s="1"/>
  <c r="F68" i="21"/>
  <c r="I68" i="21" s="1"/>
  <c r="F79" i="21"/>
  <c r="F76" i="21"/>
  <c r="F59" i="21"/>
  <c r="F37" i="21"/>
  <c r="F16" i="21"/>
  <c r="F30" i="21"/>
  <c r="I30" i="21" s="1"/>
  <c r="F28" i="21"/>
  <c r="I28" i="21" s="1"/>
  <c r="F47" i="21"/>
  <c r="I47" i="21" s="1"/>
  <c r="F45" i="21"/>
  <c r="I45" i="21" s="1"/>
  <c r="F42" i="21"/>
  <c r="F25" i="21"/>
  <c r="I649" i="21" l="1"/>
  <c r="F648" i="21"/>
  <c r="F224" i="21"/>
  <c r="I225" i="21"/>
  <c r="F36" i="21"/>
  <c r="I37" i="21"/>
  <c r="F78" i="21"/>
  <c r="I78" i="21" s="1"/>
  <c r="I79" i="21"/>
  <c r="F88" i="21"/>
  <c r="I89" i="21"/>
  <c r="F103" i="21"/>
  <c r="I103" i="21" s="1"/>
  <c r="I104" i="21"/>
  <c r="F116" i="21"/>
  <c r="I117" i="21"/>
  <c r="F137" i="21"/>
  <c r="I138" i="21"/>
  <c r="F215" i="21"/>
  <c r="I215" i="21" s="1"/>
  <c r="I216" i="21"/>
  <c r="F235" i="21"/>
  <c r="I236" i="21"/>
  <c r="F250" i="21"/>
  <c r="I250" i="21" s="1"/>
  <c r="I251" i="21"/>
  <c r="F276" i="21"/>
  <c r="I276" i="21" s="1"/>
  <c r="I277" i="21"/>
  <c r="F288" i="21"/>
  <c r="I288" i="21" s="1"/>
  <c r="I289" i="21"/>
  <c r="F303" i="21"/>
  <c r="I303" i="21" s="1"/>
  <c r="I304" i="21"/>
  <c r="F324" i="21"/>
  <c r="F320" i="21" s="1"/>
  <c r="I325" i="21"/>
  <c r="F338" i="21"/>
  <c r="I338" i="21" s="1"/>
  <c r="I339" i="21"/>
  <c r="F350" i="21"/>
  <c r="I350" i="21" s="1"/>
  <c r="I351" i="21"/>
  <c r="F389" i="21"/>
  <c r="I389" i="21" s="1"/>
  <c r="I390" i="21"/>
  <c r="F403" i="21"/>
  <c r="I404" i="21"/>
  <c r="F412" i="21"/>
  <c r="I412" i="21" s="1"/>
  <c r="I413" i="21"/>
  <c r="F424" i="21"/>
  <c r="I424" i="21" s="1"/>
  <c r="I425" i="21"/>
  <c r="F438" i="21"/>
  <c r="I438" i="21" s="1"/>
  <c r="I439" i="21"/>
  <c r="F451" i="21"/>
  <c r="I451" i="21" s="1"/>
  <c r="I452" i="21"/>
  <c r="F473" i="21"/>
  <c r="I473" i="21" s="1"/>
  <c r="I474" i="21"/>
  <c r="F499" i="21"/>
  <c r="I499" i="21" s="1"/>
  <c r="I500" i="21"/>
  <c r="F526" i="21"/>
  <c r="I526" i="21" s="1"/>
  <c r="I527" i="21"/>
  <c r="F558" i="21"/>
  <c r="I559" i="21"/>
  <c r="F581" i="21"/>
  <c r="I581" i="21" s="1"/>
  <c r="I582" i="21"/>
  <c r="F674" i="21"/>
  <c r="I675" i="21"/>
  <c r="F690" i="21"/>
  <c r="I690" i="21" s="1"/>
  <c r="I691" i="21"/>
  <c r="F704" i="21"/>
  <c r="I704" i="21" s="1"/>
  <c r="I705" i="21"/>
  <c r="F722" i="21"/>
  <c r="I722" i="21" s="1"/>
  <c r="I723" i="21"/>
  <c r="F754" i="21"/>
  <c r="I754" i="21" s="1"/>
  <c r="I755" i="21"/>
  <c r="F785" i="21"/>
  <c r="I786" i="21"/>
  <c r="F100" i="21"/>
  <c r="I100" i="21" s="1"/>
  <c r="I101" i="21"/>
  <c r="F112" i="21"/>
  <c r="I112" i="21" s="1"/>
  <c r="I113" i="21"/>
  <c r="F247" i="21"/>
  <c r="I247" i="21" s="1"/>
  <c r="I248" i="21"/>
  <c r="F273" i="21"/>
  <c r="I273" i="21" s="1"/>
  <c r="I274" i="21"/>
  <c r="F285" i="21"/>
  <c r="I285" i="21" s="1"/>
  <c r="I286" i="21"/>
  <c r="F347" i="21"/>
  <c r="I347" i="21" s="1"/>
  <c r="I348" i="21"/>
  <c r="F392" i="21"/>
  <c r="I392" i="21" s="1"/>
  <c r="I393" i="21"/>
  <c r="F435" i="21"/>
  <c r="I435" i="21" s="1"/>
  <c r="I436" i="21"/>
  <c r="F448" i="21"/>
  <c r="I448" i="21" s="1"/>
  <c r="I449" i="21"/>
  <c r="F485" i="21"/>
  <c r="I485" i="21" s="1"/>
  <c r="I486" i="21"/>
  <c r="F541" i="21"/>
  <c r="I541" i="21" s="1"/>
  <c r="I542" i="21"/>
  <c r="F645" i="21"/>
  <c r="I645" i="21" s="1"/>
  <c r="I646" i="21"/>
  <c r="F670" i="21"/>
  <c r="I670" i="21" s="1"/>
  <c r="I671" i="21"/>
  <c r="F774" i="21"/>
  <c r="I775" i="21"/>
  <c r="F24" i="21"/>
  <c r="I24" i="21" s="1"/>
  <c r="I25" i="21"/>
  <c r="F58" i="21"/>
  <c r="I59" i="21"/>
  <c r="F94" i="21"/>
  <c r="I94" i="21" s="1"/>
  <c r="I95" i="21"/>
  <c r="F106" i="21"/>
  <c r="I106" i="21" s="1"/>
  <c r="I107" i="21"/>
  <c r="F119" i="21"/>
  <c r="I119" i="21" s="1"/>
  <c r="I120" i="21"/>
  <c r="F183" i="21"/>
  <c r="I183" i="21" s="1"/>
  <c r="I184" i="21"/>
  <c r="F253" i="21"/>
  <c r="I253" i="21" s="1"/>
  <c r="I254" i="21"/>
  <c r="F265" i="21"/>
  <c r="I265" i="21" s="1"/>
  <c r="I266" i="21"/>
  <c r="F279" i="21"/>
  <c r="I279" i="21" s="1"/>
  <c r="I280" i="21"/>
  <c r="F291" i="21"/>
  <c r="I291" i="21" s="1"/>
  <c r="I292" i="21"/>
  <c r="F306" i="21"/>
  <c r="I306" i="21" s="1"/>
  <c r="I307" i="21"/>
  <c r="F328" i="21"/>
  <c r="I328" i="21" s="1"/>
  <c r="I329" i="21"/>
  <c r="F341" i="21"/>
  <c r="I341" i="21" s="1"/>
  <c r="I342" i="21"/>
  <c r="F354" i="21"/>
  <c r="I355" i="21"/>
  <c r="F378" i="21"/>
  <c r="I379" i="21"/>
  <c r="F406" i="21"/>
  <c r="I406" i="21" s="1"/>
  <c r="I407" i="21"/>
  <c r="F415" i="21"/>
  <c r="I415" i="21" s="1"/>
  <c r="I416" i="21"/>
  <c r="F427" i="21"/>
  <c r="I427" i="21" s="1"/>
  <c r="I428" i="21"/>
  <c r="F441" i="21"/>
  <c r="I441" i="21" s="1"/>
  <c r="I442" i="21"/>
  <c r="F463" i="21"/>
  <c r="I463" i="21" s="1"/>
  <c r="I464" i="21"/>
  <c r="F504" i="21"/>
  <c r="I504" i="21" s="1"/>
  <c r="I505" i="21"/>
  <c r="F532" i="21"/>
  <c r="I533" i="21"/>
  <c r="F565" i="21"/>
  <c r="I566" i="21"/>
  <c r="F584" i="21"/>
  <c r="I584" i="21" s="1"/>
  <c r="I585" i="21"/>
  <c r="F605" i="21"/>
  <c r="I605" i="21" s="1"/>
  <c r="I606" i="21"/>
  <c r="F642" i="21"/>
  <c r="I643" i="21"/>
  <c r="F679" i="21"/>
  <c r="I679" i="21" s="1"/>
  <c r="I680" i="21"/>
  <c r="I693" i="21"/>
  <c r="F713" i="21"/>
  <c r="I713" i="21" s="1"/>
  <c r="I714" i="21"/>
  <c r="F740" i="21"/>
  <c r="I741" i="21"/>
  <c r="F762" i="21"/>
  <c r="I762" i="21" s="1"/>
  <c r="I763" i="21"/>
  <c r="F791" i="21"/>
  <c r="I792" i="21"/>
  <c r="F813" i="21"/>
  <c r="I814" i="21"/>
  <c r="F15" i="21"/>
  <c r="I16" i="21"/>
  <c r="F75" i="21"/>
  <c r="I76" i="21"/>
  <c r="F157" i="21"/>
  <c r="I157" i="21" s="1"/>
  <c r="I158" i="21"/>
  <c r="F132" i="21"/>
  <c r="I133" i="21"/>
  <c r="F299" i="21"/>
  <c r="I300" i="21"/>
  <c r="F334" i="21"/>
  <c r="I334" i="21" s="1"/>
  <c r="I335" i="21"/>
  <c r="F386" i="21"/>
  <c r="I387" i="21"/>
  <c r="F421" i="21"/>
  <c r="I421" i="21" s="1"/>
  <c r="I422" i="21"/>
  <c r="F458" i="21"/>
  <c r="I458" i="21" s="1"/>
  <c r="I459" i="21"/>
  <c r="F578" i="21"/>
  <c r="I578" i="21" s="1"/>
  <c r="I579" i="21"/>
  <c r="F687" i="21"/>
  <c r="I688" i="21"/>
  <c r="F41" i="21"/>
  <c r="I41" i="21" s="1"/>
  <c r="I42" i="21"/>
  <c r="F65" i="21"/>
  <c r="I65" i="21" s="1"/>
  <c r="I66" i="21"/>
  <c r="F97" i="21"/>
  <c r="I97" i="21" s="1"/>
  <c r="I98" i="21"/>
  <c r="F109" i="21"/>
  <c r="I109" i="21" s="1"/>
  <c r="I110" i="21"/>
  <c r="F244" i="21"/>
  <c r="I244" i="21" s="1"/>
  <c r="I245" i="21"/>
  <c r="F270" i="21"/>
  <c r="I270" i="21" s="1"/>
  <c r="I271" i="21"/>
  <c r="F282" i="21"/>
  <c r="I282" i="21" s="1"/>
  <c r="I283" i="21"/>
  <c r="F294" i="21"/>
  <c r="I294" i="21" s="1"/>
  <c r="I295" i="21"/>
  <c r="F314" i="21"/>
  <c r="I315" i="21"/>
  <c r="F331" i="21"/>
  <c r="I331" i="21" s="1"/>
  <c r="I332" i="21"/>
  <c r="F344" i="21"/>
  <c r="I344" i="21" s="1"/>
  <c r="I345" i="21"/>
  <c r="F357" i="21"/>
  <c r="I357" i="21" s="1"/>
  <c r="I358" i="21"/>
  <c r="F368" i="21"/>
  <c r="I368" i="21" s="1"/>
  <c r="I369" i="21"/>
  <c r="F382" i="21"/>
  <c r="I383" i="21"/>
  <c r="F409" i="21"/>
  <c r="I409" i="21" s="1"/>
  <c r="I410" i="21"/>
  <c r="F418" i="21"/>
  <c r="I418" i="21" s="1"/>
  <c r="I419" i="21"/>
  <c r="F430" i="21"/>
  <c r="I430" i="21" s="1"/>
  <c r="I431" i="21"/>
  <c r="F445" i="21"/>
  <c r="I445" i="21" s="1"/>
  <c r="I446" i="21"/>
  <c r="F455" i="21"/>
  <c r="I455" i="21" s="1"/>
  <c r="I456" i="21"/>
  <c r="F537" i="21"/>
  <c r="I537" i="21" s="1"/>
  <c r="I538" i="21"/>
  <c r="F572" i="21"/>
  <c r="I573" i="21"/>
  <c r="F589" i="21"/>
  <c r="I590" i="21"/>
  <c r="F633" i="21"/>
  <c r="I633" i="21" s="1"/>
  <c r="I634" i="21"/>
  <c r="F667" i="21"/>
  <c r="I668" i="21"/>
  <c r="F682" i="21"/>
  <c r="I682" i="21" s="1"/>
  <c r="I683" i="21"/>
  <c r="F701" i="21"/>
  <c r="I701" i="21" s="1"/>
  <c r="I702" i="21"/>
  <c r="F745" i="21"/>
  <c r="I746" i="21"/>
  <c r="F765" i="21"/>
  <c r="I765" i="21" s="1"/>
  <c r="I766" i="21"/>
  <c r="F797" i="21"/>
  <c r="I798" i="21"/>
  <c r="F819" i="21"/>
  <c r="I820" i="21"/>
  <c r="F462" i="21"/>
  <c r="F594" i="21"/>
  <c r="F618" i="21"/>
  <c r="I618" i="21" s="1"/>
  <c r="F800" i="21"/>
  <c r="F218" i="21"/>
  <c r="F476" i="21"/>
  <c r="F507" i="21"/>
  <c r="F523" i="21"/>
  <c r="F636" i="21"/>
  <c r="F494" i="21"/>
  <c r="F205" i="21"/>
  <c r="F611" i="21"/>
  <c r="F749" i="21"/>
  <c r="F372" i="21"/>
  <c r="F187" i="21"/>
  <c r="F302" i="21"/>
  <c r="I302" i="21" s="1"/>
  <c r="F258" i="21"/>
  <c r="F363" i="21"/>
  <c r="F716" i="21"/>
  <c r="F44" i="21"/>
  <c r="F488" i="21"/>
  <c r="F623" i="21"/>
  <c r="I623" i="21" s="1"/>
  <c r="F67" i="21"/>
  <c r="I67" i="21" s="1"/>
  <c r="F161" i="21"/>
  <c r="F150" i="21"/>
  <c r="I150" i="21" s="1"/>
  <c r="F143" i="21"/>
  <c r="I143" i="21" s="1"/>
  <c r="F27" i="21"/>
  <c r="J809" i="20"/>
  <c r="J796" i="20"/>
  <c r="J772" i="20"/>
  <c r="J626" i="20"/>
  <c r="J591" i="20"/>
  <c r="J506" i="20"/>
  <c r="J497" i="20"/>
  <c r="F385" i="21" l="1"/>
  <c r="F686" i="21"/>
  <c r="F234" i="21"/>
  <c r="I234" i="21" s="1"/>
  <c r="F77" i="21"/>
  <c r="I77" i="21" s="1"/>
  <c r="I116" i="21"/>
  <c r="F115" i="21"/>
  <c r="I115" i="21" s="1"/>
  <c r="I235" i="21"/>
  <c r="I324" i="21"/>
  <c r="I320" i="21"/>
  <c r="F601" i="21"/>
  <c r="I601" i="21" s="1"/>
  <c r="F721" i="21"/>
  <c r="I721" i="21" s="1"/>
  <c r="F434" i="21"/>
  <c r="F433" i="21" s="1"/>
  <c r="I433" i="21" s="1"/>
  <c r="I354" i="21"/>
  <c r="F353" i="21"/>
  <c r="I353" i="21" s="1"/>
  <c r="I386" i="21"/>
  <c r="I385" i="21"/>
  <c r="I403" i="21"/>
  <c r="F402" i="21"/>
  <c r="I402" i="21" s="1"/>
  <c r="I642" i="21"/>
  <c r="F641" i="21"/>
  <c r="I641" i="21" s="1"/>
  <c r="F64" i="21"/>
  <c r="I64" i="21" s="1"/>
  <c r="F337" i="21"/>
  <c r="I337" i="21" s="1"/>
  <c r="F444" i="21"/>
  <c r="I444" i="21" s="1"/>
  <c r="F758" i="21"/>
  <c r="F757" i="21" s="1"/>
  <c r="I757" i="21" s="1"/>
  <c r="I687" i="21"/>
  <c r="I686" i="21"/>
  <c r="F327" i="21"/>
  <c r="I327" i="21" s="1"/>
  <c r="F678" i="21"/>
  <c r="I678" i="21" s="1"/>
  <c r="F577" i="21"/>
  <c r="F576" i="21" s="1"/>
  <c r="I576" i="21" s="1"/>
  <c r="F454" i="21"/>
  <c r="I454" i="21" s="1"/>
  <c r="F93" i="21"/>
  <c r="I93" i="21" s="1"/>
  <c r="F269" i="21"/>
  <c r="I269" i="21" s="1"/>
  <c r="F536" i="21"/>
  <c r="I536" i="21" s="1"/>
  <c r="F182" i="21"/>
  <c r="I187" i="21"/>
  <c r="F204" i="21"/>
  <c r="I205" i="21"/>
  <c r="F472" i="21"/>
  <c r="I476" i="21"/>
  <c r="F160" i="21"/>
  <c r="I160" i="21" s="1"/>
  <c r="I161" i="21"/>
  <c r="F484" i="21"/>
  <c r="I488" i="21"/>
  <c r="F362" i="21"/>
  <c r="I362" i="21" s="1"/>
  <c r="I363" i="21"/>
  <c r="F493" i="21"/>
  <c r="I493" i="21" s="1"/>
  <c r="I494" i="21"/>
  <c r="F214" i="21"/>
  <c r="I218" i="21"/>
  <c r="F593" i="21"/>
  <c r="I594" i="21"/>
  <c r="F818" i="21"/>
  <c r="I819" i="21"/>
  <c r="F666" i="21"/>
  <c r="I667" i="21"/>
  <c r="F571" i="21"/>
  <c r="I572" i="21"/>
  <c r="F381" i="21"/>
  <c r="I381" i="21" s="1"/>
  <c r="I382" i="21"/>
  <c r="F131" i="21"/>
  <c r="I132" i="21"/>
  <c r="F74" i="21"/>
  <c r="I74" i="21" s="1"/>
  <c r="I75" i="21"/>
  <c r="F812" i="21"/>
  <c r="I813" i="21"/>
  <c r="F564" i="21"/>
  <c r="I565" i="21"/>
  <c r="F784" i="21"/>
  <c r="I785" i="21"/>
  <c r="F136" i="21"/>
  <c r="I137" i="21"/>
  <c r="F257" i="21"/>
  <c r="I258" i="21"/>
  <c r="I648" i="21"/>
  <c r="F40" i="21"/>
  <c r="I40" i="21" s="1"/>
  <c r="I44" i="21"/>
  <c r="F371" i="21"/>
  <c r="I371" i="21" s="1"/>
  <c r="I372" i="21"/>
  <c r="F748" i="21"/>
  <c r="I748" i="21" s="1"/>
  <c r="I749" i="21"/>
  <c r="F632" i="21"/>
  <c r="I636" i="21"/>
  <c r="I800" i="21"/>
  <c r="F461" i="21"/>
  <c r="I461" i="21" s="1"/>
  <c r="I462" i="21"/>
  <c r="F23" i="21"/>
  <c r="I23" i="21" s="1"/>
  <c r="I27" i="21"/>
  <c r="F712" i="21"/>
  <c r="I716" i="21"/>
  <c r="F610" i="21"/>
  <c r="I610" i="21" s="1"/>
  <c r="I611" i="21"/>
  <c r="F522" i="21"/>
  <c r="I523" i="21"/>
  <c r="F503" i="21"/>
  <c r="I503" i="21" s="1"/>
  <c r="I507" i="21"/>
  <c r="F796" i="21"/>
  <c r="I796" i="21" s="1"/>
  <c r="I797" i="21"/>
  <c r="F744" i="21"/>
  <c r="I744" i="21" s="1"/>
  <c r="I745" i="21"/>
  <c r="F588" i="21"/>
  <c r="I589" i="21"/>
  <c r="F310" i="21"/>
  <c r="I314" i="21"/>
  <c r="F298" i="21"/>
  <c r="I299" i="21"/>
  <c r="F14" i="21"/>
  <c r="I15" i="21"/>
  <c r="F790" i="21"/>
  <c r="I791" i="21"/>
  <c r="F739" i="21"/>
  <c r="I740" i="21"/>
  <c r="F531" i="21"/>
  <c r="I532" i="21"/>
  <c r="F377" i="21"/>
  <c r="I377" i="21" s="1"/>
  <c r="I378" i="21"/>
  <c r="F57" i="21"/>
  <c r="I58" i="21"/>
  <c r="F773" i="21"/>
  <c r="I774" i="21"/>
  <c r="F673" i="21"/>
  <c r="I673" i="21" s="1"/>
  <c r="I674" i="21"/>
  <c r="F557" i="21"/>
  <c r="I557" i="21" s="1"/>
  <c r="I558" i="21"/>
  <c r="F87" i="21"/>
  <c r="I88" i="21"/>
  <c r="F35" i="21"/>
  <c r="I36" i="21"/>
  <c r="F223" i="21"/>
  <c r="I223" i="21" s="1"/>
  <c r="I224" i="21"/>
  <c r="F186" i="21"/>
  <c r="I186" i="21" s="1"/>
  <c r="F142" i="21"/>
  <c r="I142" i="21" s="1"/>
  <c r="J937" i="20"/>
  <c r="J966" i="20"/>
  <c r="J927" i="20"/>
  <c r="J393" i="20"/>
  <c r="F665" i="21" l="1"/>
  <c r="I758" i="21"/>
  <c r="I434" i="21"/>
  <c r="F63" i="21"/>
  <c r="I63" i="21" s="1"/>
  <c r="F22" i="21"/>
  <c r="F21" i="21" s="1"/>
  <c r="I21" i="21" s="1"/>
  <c r="F502" i="21"/>
  <c r="I502" i="21" s="1"/>
  <c r="F609" i="21"/>
  <c r="I577" i="21"/>
  <c r="F319" i="21"/>
  <c r="F318" i="21" s="1"/>
  <c r="I318" i="21" s="1"/>
  <c r="F743" i="21"/>
  <c r="I743" i="21" s="1"/>
  <c r="F39" i="21"/>
  <c r="I39" i="21" s="1"/>
  <c r="F92" i="21"/>
  <c r="I92" i="21" s="1"/>
  <c r="F73" i="21"/>
  <c r="F361" i="21"/>
  <c r="F360" i="21" s="1"/>
  <c r="I360" i="21" s="1"/>
  <c r="F401" i="21"/>
  <c r="I401" i="21" s="1"/>
  <c r="F86" i="21"/>
  <c r="I87" i="21"/>
  <c r="F56" i="21"/>
  <c r="I57" i="21"/>
  <c r="F530" i="21"/>
  <c r="I530" i="21" s="1"/>
  <c r="I531" i="21"/>
  <c r="F789" i="21"/>
  <c r="I790" i="21"/>
  <c r="F297" i="21"/>
  <c r="I298" i="21"/>
  <c r="F587" i="21"/>
  <c r="I588" i="21"/>
  <c r="F795" i="21"/>
  <c r="F256" i="21"/>
  <c r="I257" i="21"/>
  <c r="I784" i="21"/>
  <c r="F811" i="21"/>
  <c r="I812" i="21"/>
  <c r="F130" i="21"/>
  <c r="I130" i="21" s="1"/>
  <c r="I131" i="21"/>
  <c r="F570" i="21"/>
  <c r="I571" i="21"/>
  <c r="F817" i="21"/>
  <c r="I818" i="21"/>
  <c r="F213" i="21"/>
  <c r="I214" i="21"/>
  <c r="F203" i="21"/>
  <c r="I203" i="21" s="1"/>
  <c r="I204" i="21"/>
  <c r="I609" i="21"/>
  <c r="F34" i="21"/>
  <c r="I35" i="21"/>
  <c r="F772" i="21"/>
  <c r="I773" i="21"/>
  <c r="F738" i="21"/>
  <c r="I739" i="21"/>
  <c r="F13" i="21"/>
  <c r="I14" i="21"/>
  <c r="I310" i="21"/>
  <c r="F309" i="21"/>
  <c r="I309" i="21" s="1"/>
  <c r="F535" i="21"/>
  <c r="F521" i="21"/>
  <c r="I522" i="21"/>
  <c r="F711" i="21"/>
  <c r="I712" i="21"/>
  <c r="F631" i="21"/>
  <c r="I632" i="21"/>
  <c r="F135" i="21"/>
  <c r="I135" i="21" s="1"/>
  <c r="I136" i="21"/>
  <c r="F563" i="21"/>
  <c r="I564" i="21"/>
  <c r="I666" i="21"/>
  <c r="F592" i="21"/>
  <c r="I592" i="21" s="1"/>
  <c r="I593" i="21"/>
  <c r="F483" i="21"/>
  <c r="I484" i="21"/>
  <c r="F471" i="21"/>
  <c r="I472" i="21"/>
  <c r="F181" i="21"/>
  <c r="I182" i="21"/>
  <c r="F141" i="21"/>
  <c r="F62" i="21" l="1"/>
  <c r="I62" i="21" s="1"/>
  <c r="I22" i="21"/>
  <c r="F501" i="21"/>
  <c r="I501" i="21" s="1"/>
  <c r="I319" i="21"/>
  <c r="I361" i="21"/>
  <c r="I73" i="21"/>
  <c r="F72" i="21"/>
  <c r="I72" i="21" s="1"/>
  <c r="F534" i="21"/>
  <c r="I534" i="21" s="1"/>
  <c r="I535" i="21"/>
  <c r="F771" i="21"/>
  <c r="I771" i="21" s="1"/>
  <c r="I772" i="21"/>
  <c r="F212" i="21"/>
  <c r="I213" i="21"/>
  <c r="I256" i="21"/>
  <c r="F233" i="21"/>
  <c r="F180" i="21"/>
  <c r="I181" i="21"/>
  <c r="F482" i="21"/>
  <c r="I483" i="21"/>
  <c r="F710" i="21"/>
  <c r="I711" i="21"/>
  <c r="F794" i="21"/>
  <c r="I795" i="21"/>
  <c r="I297" i="21"/>
  <c r="F268" i="21"/>
  <c r="I268" i="21" s="1"/>
  <c r="F85" i="21"/>
  <c r="I85" i="21" s="1"/>
  <c r="I86" i="21"/>
  <c r="F664" i="21"/>
  <c r="I665" i="21"/>
  <c r="F569" i="21"/>
  <c r="I569" i="21" s="1"/>
  <c r="I570" i="21"/>
  <c r="F816" i="21"/>
  <c r="I816" i="21" s="1"/>
  <c r="I817" i="21"/>
  <c r="F12" i="21"/>
  <c r="I13" i="21"/>
  <c r="F810" i="21"/>
  <c r="I810" i="21" s="1"/>
  <c r="I811" i="21"/>
  <c r="F140" i="21"/>
  <c r="I141" i="21"/>
  <c r="F737" i="21"/>
  <c r="I738" i="21"/>
  <c r="F33" i="21"/>
  <c r="I34" i="21"/>
  <c r="F470" i="21"/>
  <c r="I471" i="21"/>
  <c r="I563" i="21"/>
  <c r="F630" i="21"/>
  <c r="I631" i="21"/>
  <c r="F520" i="21"/>
  <c r="I521" i="21"/>
  <c r="I587" i="21"/>
  <c r="F575" i="21"/>
  <c r="I575" i="21" s="1"/>
  <c r="F788" i="21"/>
  <c r="I789" i="21"/>
  <c r="F55" i="21"/>
  <c r="I55" i="21" s="1"/>
  <c r="I56" i="21"/>
  <c r="F61" i="21" l="1"/>
  <c r="I61" i="21" s="1"/>
  <c r="I788" i="21"/>
  <c r="F783" i="21"/>
  <c r="F232" i="21"/>
  <c r="I232" i="21" s="1"/>
  <c r="I233" i="21"/>
  <c r="I33" i="21"/>
  <c r="F32" i="21"/>
  <c r="I32" i="21" s="1"/>
  <c r="F91" i="21"/>
  <c r="I91" i="21" s="1"/>
  <c r="I140" i="21"/>
  <c r="F11" i="21"/>
  <c r="I12" i="21"/>
  <c r="F793" i="21"/>
  <c r="I793" i="21" s="1"/>
  <c r="I794" i="21"/>
  <c r="I482" i="21"/>
  <c r="F481" i="21"/>
  <c r="I481" i="21" s="1"/>
  <c r="I470" i="21"/>
  <c r="F519" i="21"/>
  <c r="I520" i="21"/>
  <c r="I630" i="21"/>
  <c r="F600" i="21"/>
  <c r="F562" i="21"/>
  <c r="I562" i="21" s="1"/>
  <c r="I737" i="21"/>
  <c r="F736" i="21"/>
  <c r="I736" i="21" s="1"/>
  <c r="F663" i="21"/>
  <c r="I664" i="21"/>
  <c r="I710" i="21"/>
  <c r="F685" i="21"/>
  <c r="F179" i="21"/>
  <c r="I179" i="21" s="1"/>
  <c r="I180" i="21"/>
  <c r="I212" i="21"/>
  <c r="G294" i="20"/>
  <c r="J294" i="20" s="1"/>
  <c r="F469" i="21" l="1"/>
  <c r="F317" i="21" s="1"/>
  <c r="I317" i="21" s="1"/>
  <c r="F194" i="21"/>
  <c r="I194" i="21" s="1"/>
  <c r="I663" i="21"/>
  <c r="F778" i="21"/>
  <c r="F777" i="21" s="1"/>
  <c r="I783" i="21"/>
  <c r="F599" i="21"/>
  <c r="I599" i="21" s="1"/>
  <c r="I600" i="21"/>
  <c r="F677" i="21"/>
  <c r="I677" i="21" s="1"/>
  <c r="I685" i="21"/>
  <c r="I519" i="21"/>
  <c r="I11" i="21"/>
  <c r="F10" i="21"/>
  <c r="G778" i="20"/>
  <c r="G777" i="20" s="1"/>
  <c r="I469" i="21" l="1"/>
  <c r="F518" i="21"/>
  <c r="I518" i="21" s="1"/>
  <c r="F662" i="21"/>
  <c r="I662" i="21" s="1"/>
  <c r="I10" i="21"/>
  <c r="I778" i="21"/>
  <c r="I777" i="21"/>
  <c r="J778" i="20"/>
  <c r="J777" i="20"/>
  <c r="J1009" i="20"/>
  <c r="F9" i="21" l="1"/>
  <c r="I9" i="21" s="1"/>
  <c r="G1080" i="20"/>
  <c r="J1080" i="20" s="1"/>
  <c r="J1058" i="20"/>
  <c r="J887" i="20"/>
  <c r="J862" i="20"/>
  <c r="G859" i="20"/>
  <c r="J859" i="20" s="1"/>
  <c r="J844" i="20"/>
  <c r="J842" i="20"/>
  <c r="J846" i="20"/>
  <c r="J833" i="20"/>
  <c r="G765" i="20"/>
  <c r="G764" i="20" s="1"/>
  <c r="G768" i="20"/>
  <c r="G767" i="20" s="1"/>
  <c r="G771" i="20"/>
  <c r="G770" i="20" s="1"/>
  <c r="G758" i="20"/>
  <c r="G757" i="20" s="1"/>
  <c r="G631" i="20"/>
  <c r="G630" i="20" s="1"/>
  <c r="G579" i="20"/>
  <c r="G578" i="20" s="1"/>
  <c r="G576" i="20"/>
  <c r="G575" i="20" s="1"/>
  <c r="G573" i="20"/>
  <c r="G572" i="20" s="1"/>
  <c r="J528" i="20"/>
  <c r="J525" i="20"/>
  <c r="G527" i="20"/>
  <c r="G524" i="20"/>
  <c r="G523" i="20" s="1"/>
  <c r="G529" i="20"/>
  <c r="G540" i="20"/>
  <c r="G539" i="20" s="1"/>
  <c r="G543" i="20"/>
  <c r="G542" i="20" s="1"/>
  <c r="G512" i="20"/>
  <c r="G511" i="20" s="1"/>
  <c r="G509" i="20"/>
  <c r="G508" i="20" s="1"/>
  <c r="G505" i="20"/>
  <c r="G504" i="20" s="1"/>
  <c r="G502" i="20"/>
  <c r="G501" i="20" s="1"/>
  <c r="G499" i="20"/>
  <c r="G498" i="20" s="1"/>
  <c r="G496" i="20"/>
  <c r="G495" i="20" s="1"/>
  <c r="G493" i="20"/>
  <c r="G492" i="20" s="1"/>
  <c r="G490" i="20"/>
  <c r="G489" i="20" s="1"/>
  <c r="G487" i="20"/>
  <c r="G486" i="20" s="1"/>
  <c r="G484" i="20"/>
  <c r="G483" i="20" s="1"/>
  <c r="G481" i="20"/>
  <c r="G480" i="20" s="1"/>
  <c r="G478" i="20"/>
  <c r="G477" i="20" s="1"/>
  <c r="G470" i="20"/>
  <c r="G472" i="20"/>
  <c r="G468" i="20"/>
  <c r="J417" i="20"/>
  <c r="J444" i="20"/>
  <c r="J379" i="20"/>
  <c r="J377" i="20"/>
  <c r="G736" i="20"/>
  <c r="J736" i="20" s="1"/>
  <c r="G729" i="20"/>
  <c r="G728" i="20" s="1"/>
  <c r="G722" i="20"/>
  <c r="G716" i="20"/>
  <c r="G715" i="20" s="1"/>
  <c r="G707" i="20"/>
  <c r="J707" i="20" s="1"/>
  <c r="G705" i="20"/>
  <c r="J705" i="20" s="1"/>
  <c r="G702" i="20"/>
  <c r="G694" i="20"/>
  <c r="G687" i="20"/>
  <c r="J687" i="20" s="1"/>
  <c r="G680" i="20"/>
  <c r="G679" i="20" s="1"/>
  <c r="G678" i="20" s="1"/>
  <c r="G674" i="20"/>
  <c r="G665" i="20"/>
  <c r="G663" i="20"/>
  <c r="J663" i="20" s="1"/>
  <c r="G660" i="20"/>
  <c r="G659" i="20" s="1"/>
  <c r="G273" i="20"/>
  <c r="G272" i="20" s="1"/>
  <c r="G266" i="20"/>
  <c r="G265" i="20" s="1"/>
  <c r="G259" i="20"/>
  <c r="G258" i="20" s="1"/>
  <c r="G253" i="20"/>
  <c r="G252" i="20" s="1"/>
  <c r="G251" i="20" s="1"/>
  <c r="G244" i="20"/>
  <c r="G242" i="20"/>
  <c r="G239" i="20"/>
  <c r="G238" i="20" s="1"/>
  <c r="G231" i="20"/>
  <c r="G230" i="20" s="1"/>
  <c r="G149" i="20"/>
  <c r="G148" i="20" s="1"/>
  <c r="G146" i="20"/>
  <c r="G145" i="20" s="1"/>
  <c r="G143" i="20"/>
  <c r="G142" i="20" s="1"/>
  <c r="G140" i="20"/>
  <c r="G139" i="20" s="1"/>
  <c r="G137" i="20"/>
  <c r="G136" i="20" s="1"/>
  <c r="G134" i="20"/>
  <c r="G133" i="20" s="1"/>
  <c r="G131" i="20"/>
  <c r="G130" i="20" s="1"/>
  <c r="G86" i="20"/>
  <c r="G85" i="20" s="1"/>
  <c r="G571" i="20" l="1"/>
  <c r="G570" i="20" s="1"/>
  <c r="G476" i="20"/>
  <c r="J660" i="20"/>
  <c r="J437" i="20"/>
  <c r="J401" i="20"/>
  <c r="J468" i="20"/>
  <c r="J481" i="20"/>
  <c r="J490" i="20"/>
  <c r="J502" i="20"/>
  <c r="J487" i="20"/>
  <c r="J137" i="20"/>
  <c r="J149" i="20"/>
  <c r="J146" i="20"/>
  <c r="J239" i="20"/>
  <c r="J259" i="20"/>
  <c r="J499" i="20"/>
  <c r="J579" i="20"/>
  <c r="J573" i="20"/>
  <c r="J134" i="20"/>
  <c r="J231" i="20"/>
  <c r="J242" i="20"/>
  <c r="J266" i="20"/>
  <c r="J478" i="20"/>
  <c r="J398" i="20"/>
  <c r="J680" i="20"/>
  <c r="J729" i="20"/>
  <c r="J472" i="20"/>
  <c r="J758" i="20"/>
  <c r="J765" i="20"/>
  <c r="J512" i="20"/>
  <c r="J771" i="20"/>
  <c r="J86" i="20"/>
  <c r="J131" i="20"/>
  <c r="J143" i="20"/>
  <c r="J244" i="20"/>
  <c r="J273" i="20"/>
  <c r="J674" i="20"/>
  <c r="J702" i="20"/>
  <c r="J722" i="20"/>
  <c r="J428" i="20"/>
  <c r="J440" i="20"/>
  <c r="J446" i="20"/>
  <c r="J404" i="20"/>
  <c r="J412" i="20"/>
  <c r="J419" i="20"/>
  <c r="J484" i="20"/>
  <c r="J496" i="20"/>
  <c r="J509" i="20"/>
  <c r="J540" i="20"/>
  <c r="J529" i="20"/>
  <c r="J768" i="20"/>
  <c r="J470" i="20"/>
  <c r="J140" i="20"/>
  <c r="J253" i="20"/>
  <c r="J665" i="20"/>
  <c r="J694" i="20"/>
  <c r="J716" i="20"/>
  <c r="J425" i="20"/>
  <c r="J392" i="20"/>
  <c r="J493" i="20"/>
  <c r="J505" i="20"/>
  <c r="J543" i="20"/>
  <c r="J576" i="20"/>
  <c r="J631" i="20"/>
  <c r="J400" i="20"/>
  <c r="J489" i="20"/>
  <c r="J498" i="20"/>
  <c r="J527" i="20"/>
  <c r="J770" i="20"/>
  <c r="J85" i="20"/>
  <c r="J130" i="20"/>
  <c r="J133" i="20"/>
  <c r="J145" i="20"/>
  <c r="J230" i="20"/>
  <c r="J265" i="20"/>
  <c r="J659" i="20"/>
  <c r="J679" i="20"/>
  <c r="J728" i="20"/>
  <c r="J430" i="20"/>
  <c r="J397" i="20"/>
  <c r="J416" i="20"/>
  <c r="J477" i="20"/>
  <c r="J486" i="20"/>
  <c r="J511" i="20"/>
  <c r="J524" i="20"/>
  <c r="J757" i="20"/>
  <c r="J136" i="20"/>
  <c r="J148" i="20"/>
  <c r="J238" i="20"/>
  <c r="J258" i="20"/>
  <c r="J436" i="20"/>
  <c r="J443" i="20"/>
  <c r="J480" i="20"/>
  <c r="J501" i="20"/>
  <c r="J572" i="20"/>
  <c r="J578" i="20"/>
  <c r="J764" i="20"/>
  <c r="J142" i="20"/>
  <c r="J272" i="20"/>
  <c r="J427" i="20"/>
  <c r="J439" i="20"/>
  <c r="J403" i="20"/>
  <c r="J411" i="20"/>
  <c r="J418" i="20"/>
  <c r="J483" i="20"/>
  <c r="J495" i="20"/>
  <c r="J508" i="20"/>
  <c r="J539" i="20"/>
  <c r="J767" i="20"/>
  <c r="J139" i="20"/>
  <c r="J252" i="20"/>
  <c r="J715" i="20"/>
  <c r="J424" i="20"/>
  <c r="J391" i="20"/>
  <c r="J492" i="20"/>
  <c r="J504" i="20"/>
  <c r="J542" i="20"/>
  <c r="J575" i="20"/>
  <c r="G763" i="20"/>
  <c r="G526" i="20"/>
  <c r="G522" i="20" s="1"/>
  <c r="G521" i="20" s="1"/>
  <c r="G520" i="20" s="1"/>
  <c r="G519" i="20" s="1"/>
  <c r="G507" i="20"/>
  <c r="G538" i="20"/>
  <c r="G537" i="20" s="1"/>
  <c r="G536" i="20" s="1"/>
  <c r="G467" i="20"/>
  <c r="G466" i="20" s="1"/>
  <c r="G465" i="20" s="1"/>
  <c r="G464" i="20" s="1"/>
  <c r="G686" i="20"/>
  <c r="J686" i="20" s="1"/>
  <c r="G662" i="20"/>
  <c r="G658" i="20" s="1"/>
  <c r="G701" i="20"/>
  <c r="J701" i="20" s="1"/>
  <c r="G704" i="20"/>
  <c r="J704" i="20" s="1"/>
  <c r="G714" i="20"/>
  <c r="G721" i="20"/>
  <c r="G727" i="20"/>
  <c r="G735" i="20"/>
  <c r="J735" i="20" s="1"/>
  <c r="G673" i="20"/>
  <c r="G677" i="20"/>
  <c r="G693" i="20"/>
  <c r="J693" i="20" s="1"/>
  <c r="G241" i="20"/>
  <c r="G237" i="20" s="1"/>
  <c r="G257" i="20"/>
  <c r="G271" i="20"/>
  <c r="G264" i="20"/>
  <c r="G250" i="20"/>
  <c r="G229" i="20"/>
  <c r="J662" i="20" l="1"/>
  <c r="J445" i="20"/>
  <c r="J630" i="20"/>
  <c r="J526" i="20"/>
  <c r="J476" i="20"/>
  <c r="J673" i="20"/>
  <c r="J241" i="20"/>
  <c r="J396" i="20"/>
  <c r="J507" i="20"/>
  <c r="J467" i="20"/>
  <c r="J721" i="20"/>
  <c r="J423" i="20"/>
  <c r="J571" i="20"/>
  <c r="J538" i="20"/>
  <c r="J390" i="20"/>
  <c r="J415" i="20"/>
  <c r="J229" i="20"/>
  <c r="J658" i="20"/>
  <c r="J257" i="20"/>
  <c r="J714" i="20"/>
  <c r="J678" i="20"/>
  <c r="J264" i="20"/>
  <c r="J251" i="20"/>
  <c r="J410" i="20"/>
  <c r="J271" i="20"/>
  <c r="J466" i="20"/>
  <c r="J763" i="20"/>
  <c r="J442" i="20"/>
  <c r="J523" i="20"/>
  <c r="J727" i="20"/>
  <c r="G700" i="20"/>
  <c r="G657" i="20"/>
  <c r="G656" i="20" s="1"/>
  <c r="J237" i="20"/>
  <c r="G475" i="20"/>
  <c r="G474" i="20" s="1"/>
  <c r="G463" i="20" s="1"/>
  <c r="G685" i="20"/>
  <c r="G684" i="20" s="1"/>
  <c r="G676" i="20"/>
  <c r="G720" i="20"/>
  <c r="G713" i="20"/>
  <c r="G734" i="20"/>
  <c r="G726" i="20"/>
  <c r="G692" i="20"/>
  <c r="G672" i="20"/>
  <c r="G256" i="20"/>
  <c r="G270" i="20"/>
  <c r="G263" i="20"/>
  <c r="G249" i="20"/>
  <c r="G236" i="20"/>
  <c r="G228" i="20"/>
  <c r="J475" i="20" l="1"/>
  <c r="J570" i="20"/>
  <c r="J685" i="20"/>
  <c r="J700" i="20"/>
  <c r="J672" i="20"/>
  <c r="J734" i="20"/>
  <c r="J692" i="20"/>
  <c r="J657" i="20"/>
  <c r="J395" i="20"/>
  <c r="J720" i="20"/>
  <c r="J250" i="20"/>
  <c r="J414" i="20"/>
  <c r="J389" i="20"/>
  <c r="J228" i="20"/>
  <c r="J236" i="20"/>
  <c r="J713" i="20"/>
  <c r="J522" i="20"/>
  <c r="J441" i="20"/>
  <c r="J677" i="20"/>
  <c r="J726" i="20"/>
  <c r="J465" i="20"/>
  <c r="J270" i="20"/>
  <c r="J684" i="20"/>
  <c r="J263" i="20"/>
  <c r="J256" i="20"/>
  <c r="J537" i="20"/>
  <c r="G255" i="20"/>
  <c r="G725" i="20"/>
  <c r="G712" i="20"/>
  <c r="G699" i="20"/>
  <c r="J699" i="20" s="1"/>
  <c r="G733" i="20"/>
  <c r="G719" i="20"/>
  <c r="G691" i="20"/>
  <c r="J691" i="20" s="1"/>
  <c r="G671" i="20"/>
  <c r="J671" i="20" s="1"/>
  <c r="G683" i="20"/>
  <c r="G269" i="20"/>
  <c r="G235" i="20"/>
  <c r="G262" i="20"/>
  <c r="G227" i="20"/>
  <c r="J409" i="20" l="1"/>
  <c r="J394" i="20"/>
  <c r="J719" i="20"/>
  <c r="J733" i="20"/>
  <c r="J656" i="20"/>
  <c r="J255" i="20"/>
  <c r="J269" i="20"/>
  <c r="J676" i="20"/>
  <c r="J712" i="20"/>
  <c r="J388" i="20"/>
  <c r="J683" i="20"/>
  <c r="J725" i="20"/>
  <c r="J464" i="20"/>
  <c r="J235" i="20"/>
  <c r="J408" i="20"/>
  <c r="J536" i="20"/>
  <c r="J262" i="20"/>
  <c r="J521" i="20"/>
  <c r="J227" i="20"/>
  <c r="J249" i="20"/>
  <c r="G234" i="20"/>
  <c r="G718" i="20"/>
  <c r="G732" i="20"/>
  <c r="G698" i="20"/>
  <c r="J698" i="20" s="1"/>
  <c r="G724" i="20"/>
  <c r="G682" i="20"/>
  <c r="G670" i="20"/>
  <c r="G655" i="20" s="1"/>
  <c r="G690" i="20"/>
  <c r="G261" i="20"/>
  <c r="G268" i="20"/>
  <c r="G226" i="20"/>
  <c r="J732" i="20" l="1"/>
  <c r="J718" i="20"/>
  <c r="J690" i="20"/>
  <c r="J670" i="20"/>
  <c r="J226" i="20"/>
  <c r="J261" i="20"/>
  <c r="J655" i="20"/>
  <c r="J724" i="20"/>
  <c r="J387" i="20"/>
  <c r="J268" i="20"/>
  <c r="J234" i="20"/>
  <c r="J520" i="20"/>
  <c r="J407" i="20"/>
  <c r="J682" i="20"/>
  <c r="G697" i="20"/>
  <c r="G233" i="20"/>
  <c r="G731" i="20"/>
  <c r="G689" i="20"/>
  <c r="G781" i="20"/>
  <c r="J781" i="20" s="1"/>
  <c r="J731" i="20" l="1"/>
  <c r="J697" i="20"/>
  <c r="J689" i="20"/>
  <c r="J519" i="20"/>
  <c r="G780" i="20"/>
  <c r="J780" i="20" s="1"/>
  <c r="J233" i="20"/>
  <c r="J386" i="20"/>
  <c r="J422" i="20"/>
  <c r="G654" i="20"/>
  <c r="G696" i="20"/>
  <c r="J696" i="20" s="1"/>
  <c r="J654" i="20" l="1"/>
  <c r="J421" i="20"/>
  <c r="J474" i="20"/>
  <c r="G775" i="20"/>
  <c r="J775" i="20" s="1"/>
  <c r="J463" i="20" l="1"/>
  <c r="J406" i="20"/>
  <c r="G774" i="20"/>
  <c r="J774" i="20" s="1"/>
  <c r="G793" i="20"/>
  <c r="J793" i="20" s="1"/>
  <c r="G568" i="20" l="1"/>
  <c r="J568" i="20" s="1"/>
  <c r="J385" i="20" l="1"/>
  <c r="G567" i="20"/>
  <c r="J567" i="20" s="1"/>
  <c r="G293" i="20"/>
  <c r="J293" i="20" s="1"/>
  <c r="G292" i="20" l="1"/>
  <c r="J292" i="20" s="1"/>
  <c r="G621" i="20"/>
  <c r="J621" i="20" s="1"/>
  <c r="G291" i="20" l="1"/>
  <c r="J291" i="20" s="1"/>
  <c r="G1084" i="20"/>
  <c r="J1084" i="20" s="1"/>
  <c r="G1079" i="20"/>
  <c r="J1079" i="20" s="1"/>
  <c r="G1068" i="20"/>
  <c r="J1068" i="20" s="1"/>
  <c r="G1062" i="20"/>
  <c r="J1062" i="20" s="1"/>
  <c r="G1060" i="20"/>
  <c r="J1060" i="20" s="1"/>
  <c r="G1057" i="20"/>
  <c r="J1057" i="20" s="1"/>
  <c r="G1048" i="20"/>
  <c r="J1048" i="20" s="1"/>
  <c r="G1039" i="20"/>
  <c r="J1039" i="20" s="1"/>
  <c r="G1033" i="20"/>
  <c r="J1033" i="20" s="1"/>
  <c r="G1028" i="20"/>
  <c r="J1028" i="20" s="1"/>
  <c r="G1013" i="20"/>
  <c r="J1013" i="20" s="1"/>
  <c r="G1011" i="20"/>
  <c r="J1011" i="20" s="1"/>
  <c r="G1008" i="20"/>
  <c r="J1008" i="20" s="1"/>
  <c r="G1002" i="20"/>
  <c r="J1002" i="20" s="1"/>
  <c r="G1000" i="20"/>
  <c r="J1000" i="20" s="1"/>
  <c r="G998" i="20"/>
  <c r="J998" i="20" s="1"/>
  <c r="G995" i="20"/>
  <c r="J995" i="20" s="1"/>
  <c r="G993" i="20"/>
  <c r="J993" i="20" s="1"/>
  <c r="G990" i="20"/>
  <c r="J990" i="20" s="1"/>
  <c r="G988" i="20"/>
  <c r="J988" i="20" s="1"/>
  <c r="G986" i="20"/>
  <c r="J986" i="20" s="1"/>
  <c r="G980" i="20"/>
  <c r="J980" i="20" s="1"/>
  <c r="G964" i="20"/>
  <c r="J964" i="20" s="1"/>
  <c r="G957" i="20"/>
  <c r="J957" i="20" s="1"/>
  <c r="G940" i="20"/>
  <c r="J940" i="20" s="1"/>
  <c r="G936" i="20"/>
  <c r="J936" i="20" s="1"/>
  <c r="G929" i="20"/>
  <c r="J929" i="20" s="1"/>
  <c r="G910" i="20"/>
  <c r="J910" i="20" s="1"/>
  <c r="G903" i="20"/>
  <c r="J903" i="20" s="1"/>
  <c r="G891" i="20"/>
  <c r="J891" i="20" s="1"/>
  <c r="G889" i="20"/>
  <c r="J889" i="20" s="1"/>
  <c r="G886" i="20"/>
  <c r="J886" i="20" s="1"/>
  <c r="G878" i="20"/>
  <c r="J878" i="20" s="1"/>
  <c r="G863" i="20"/>
  <c r="J863" i="20" s="1"/>
  <c r="G861" i="20"/>
  <c r="J861" i="20" s="1"/>
  <c r="G858" i="20"/>
  <c r="J858" i="20" s="1"/>
  <c r="G845" i="20"/>
  <c r="J845" i="20" s="1"/>
  <c r="G843" i="20"/>
  <c r="J843" i="20" s="1"/>
  <c r="G841" i="20"/>
  <c r="J841" i="20" s="1"/>
  <c r="G837" i="20"/>
  <c r="J837" i="20" s="1"/>
  <c r="G835" i="20"/>
  <c r="J835" i="20" s="1"/>
  <c r="G832" i="20"/>
  <c r="J832" i="20" s="1"/>
  <c r="G824" i="20"/>
  <c r="J824" i="20" s="1"/>
  <c r="G821" i="20"/>
  <c r="J821" i="20" s="1"/>
  <c r="G818" i="20"/>
  <c r="J818" i="20" s="1"/>
  <c r="G812" i="20"/>
  <c r="J812" i="20" s="1"/>
  <c r="G808" i="20"/>
  <c r="J808" i="20" s="1"/>
  <c r="G804" i="20"/>
  <c r="J804" i="20" s="1"/>
  <c r="G798" i="20"/>
  <c r="J798" i="20" s="1"/>
  <c r="G795" i="20"/>
  <c r="J795" i="20" s="1"/>
  <c r="G787" i="20"/>
  <c r="J787" i="20" s="1"/>
  <c r="G784" i="20"/>
  <c r="J784" i="20" s="1"/>
  <c r="G761" i="20"/>
  <c r="J761" i="20" s="1"/>
  <c r="G751" i="20"/>
  <c r="J751" i="20" s="1"/>
  <c r="G743" i="20"/>
  <c r="J743" i="20" s="1"/>
  <c r="G640" i="20"/>
  <c r="J640" i="20" s="1"/>
  <c r="G628" i="20"/>
  <c r="J628" i="20" s="1"/>
  <c r="G625" i="20"/>
  <c r="J625" i="20" s="1"/>
  <c r="G620" i="20"/>
  <c r="J620" i="20" s="1"/>
  <c r="G608" i="20"/>
  <c r="J608" i="20" s="1"/>
  <c r="G606" i="20"/>
  <c r="J606" i="20" s="1"/>
  <c r="G603" i="20"/>
  <c r="J603" i="20" s="1"/>
  <c r="G593" i="20"/>
  <c r="J593" i="20" s="1"/>
  <c r="G596" i="20"/>
  <c r="J596" i="20" s="1"/>
  <c r="G590" i="20"/>
  <c r="J590" i="20" s="1"/>
  <c r="G565" i="20"/>
  <c r="J565" i="20" s="1"/>
  <c r="G559" i="20"/>
  <c r="J559" i="20" s="1"/>
  <c r="G556" i="20"/>
  <c r="J556" i="20" s="1"/>
  <c r="G383" i="20"/>
  <c r="J383" i="20" s="1"/>
  <c r="G380" i="20"/>
  <c r="J380" i="20" s="1"/>
  <c r="G378" i="20"/>
  <c r="J378" i="20" s="1"/>
  <c r="G376" i="20"/>
  <c r="J376" i="20" s="1"/>
  <c r="G371" i="20"/>
  <c r="J371" i="20" s="1"/>
  <c r="G368" i="20"/>
  <c r="J368" i="20" s="1"/>
  <c r="G365" i="20"/>
  <c r="J365" i="20" s="1"/>
  <c r="G362" i="20"/>
  <c r="J362" i="20" s="1"/>
  <c r="G353" i="20"/>
  <c r="J353" i="20" s="1"/>
  <c r="G342" i="20"/>
  <c r="J342" i="20" s="1"/>
  <c r="G338" i="20"/>
  <c r="J338" i="20" s="1"/>
  <c r="G336" i="20"/>
  <c r="J336" i="20" s="1"/>
  <c r="G333" i="20"/>
  <c r="J333" i="20" s="1"/>
  <c r="G305" i="20"/>
  <c r="J305" i="20" s="1"/>
  <c r="G303" i="20"/>
  <c r="J303" i="20" s="1"/>
  <c r="G300" i="20"/>
  <c r="J300" i="20" s="1"/>
  <c r="G288" i="20"/>
  <c r="J288" i="20" s="1"/>
  <c r="G281" i="20"/>
  <c r="J281" i="20" s="1"/>
  <c r="G224" i="20"/>
  <c r="J224" i="20" s="1"/>
  <c r="G217" i="20"/>
  <c r="J217" i="20" s="1"/>
  <c r="G211" i="20"/>
  <c r="J211" i="20" s="1"/>
  <c r="G199" i="20"/>
  <c r="J199" i="20" s="1"/>
  <c r="G197" i="20"/>
  <c r="J197" i="20" s="1"/>
  <c r="G194" i="20"/>
  <c r="J194" i="20" s="1"/>
  <c r="G186" i="20"/>
  <c r="J186" i="20" s="1"/>
  <c r="G180" i="20"/>
  <c r="J180" i="20" s="1"/>
  <c r="G173" i="20"/>
  <c r="J173" i="20" s="1"/>
  <c r="G170" i="20"/>
  <c r="J170" i="20" s="1"/>
  <c r="G161" i="20"/>
  <c r="J161" i="20" s="1"/>
  <c r="G128" i="20"/>
  <c r="J128" i="20" s="1"/>
  <c r="G125" i="20"/>
  <c r="J125" i="20" s="1"/>
  <c r="G113" i="20"/>
  <c r="J113" i="20" s="1"/>
  <c r="G109" i="20"/>
  <c r="J109" i="20" s="1"/>
  <c r="G105" i="20"/>
  <c r="J105" i="20" s="1"/>
  <c r="G98" i="20"/>
  <c r="J98" i="20" s="1"/>
  <c r="G93" i="20"/>
  <c r="J93" i="20" s="1"/>
  <c r="G90" i="20"/>
  <c r="J90" i="20" s="1"/>
  <c r="G83" i="20"/>
  <c r="J83" i="20" s="1"/>
  <c r="G80" i="20"/>
  <c r="J80" i="20" s="1"/>
  <c r="G77" i="20"/>
  <c r="J77" i="20" s="1"/>
  <c r="G74" i="20"/>
  <c r="J74" i="20" s="1"/>
  <c r="G71" i="20"/>
  <c r="J71" i="20" s="1"/>
  <c r="G68" i="20"/>
  <c r="J68" i="20" s="1"/>
  <c r="G59" i="20"/>
  <c r="J59" i="20" s="1"/>
  <c r="G56" i="20"/>
  <c r="J56" i="20" s="1"/>
  <c r="G53" i="20"/>
  <c r="J53" i="20" s="1"/>
  <c r="G51" i="20"/>
  <c r="J51" i="20" s="1"/>
  <c r="G49" i="20"/>
  <c r="J49" i="20" s="1"/>
  <c r="G46" i="20"/>
  <c r="J46" i="20" s="1"/>
  <c r="G44" i="20"/>
  <c r="J44" i="20" s="1"/>
  <c r="G42" i="20"/>
  <c r="J42" i="20" s="1"/>
  <c r="G35" i="20"/>
  <c r="J35" i="20" s="1"/>
  <c r="G26" i="20"/>
  <c r="J26" i="20" s="1"/>
  <c r="G24" i="20"/>
  <c r="J24" i="20" s="1"/>
  <c r="G14" i="20"/>
  <c r="J14" i="20" s="1"/>
  <c r="G34" i="20" l="1"/>
  <c r="J34" i="20" s="1"/>
  <c r="G104" i="20"/>
  <c r="J104" i="20" s="1"/>
  <c r="G341" i="20"/>
  <c r="J341" i="20" s="1"/>
  <c r="G367" i="20"/>
  <c r="J367" i="20" s="1"/>
  <c r="G564" i="20"/>
  <c r="G592" i="20"/>
  <c r="J592" i="20" s="1"/>
  <c r="G786" i="20"/>
  <c r="J786" i="20" s="1"/>
  <c r="G807" i="20"/>
  <c r="J807" i="20" s="1"/>
  <c r="G928" i="20"/>
  <c r="J928" i="20" s="1"/>
  <c r="G1047" i="20"/>
  <c r="J1047" i="20" s="1"/>
  <c r="G290" i="20"/>
  <c r="J290" i="20" s="1"/>
  <c r="G55" i="20"/>
  <c r="J55" i="20" s="1"/>
  <c r="G89" i="20"/>
  <c r="G210" i="20"/>
  <c r="J210" i="20" s="1"/>
  <c r="G332" i="20"/>
  <c r="J332" i="20" s="1"/>
  <c r="G352" i="20"/>
  <c r="G370" i="20"/>
  <c r="J370" i="20" s="1"/>
  <c r="G382" i="20"/>
  <c r="J382" i="20" s="1"/>
  <c r="G792" i="20"/>
  <c r="J792" i="20" s="1"/>
  <c r="G811" i="20"/>
  <c r="J811" i="20" s="1"/>
  <c r="G935" i="20"/>
  <c r="J935" i="20" s="1"/>
  <c r="G1056" i="20"/>
  <c r="J1056" i="20" s="1"/>
  <c r="G1078" i="20"/>
  <c r="J1078" i="20" s="1"/>
  <c r="G58" i="20"/>
  <c r="J58" i="20" s="1"/>
  <c r="G92" i="20"/>
  <c r="J92" i="20" s="1"/>
  <c r="G193" i="20"/>
  <c r="J193" i="20" s="1"/>
  <c r="G299" i="20"/>
  <c r="J299" i="20" s="1"/>
  <c r="G361" i="20"/>
  <c r="J361" i="20" s="1"/>
  <c r="G589" i="20"/>
  <c r="J589" i="20" s="1"/>
  <c r="G797" i="20"/>
  <c r="J797" i="20" s="1"/>
  <c r="G817" i="20"/>
  <c r="J817" i="20" s="1"/>
  <c r="G877" i="20"/>
  <c r="J877" i="20" s="1"/>
  <c r="G902" i="20"/>
  <c r="J902" i="20" s="1"/>
  <c r="G1007" i="20"/>
  <c r="J1007" i="20" s="1"/>
  <c r="G1032" i="20"/>
  <c r="J1032" i="20" s="1"/>
  <c r="G97" i="20"/>
  <c r="J97" i="20" s="1"/>
  <c r="G223" i="20"/>
  <c r="J223" i="20" s="1"/>
  <c r="G364" i="20"/>
  <c r="J364" i="20" s="1"/>
  <c r="G558" i="20"/>
  <c r="J558" i="20" s="1"/>
  <c r="G595" i="20"/>
  <c r="J595" i="20" s="1"/>
  <c r="G639" i="20"/>
  <c r="J639" i="20" s="1"/>
  <c r="G857" i="20"/>
  <c r="J857" i="20" s="1"/>
  <c r="G956" i="20"/>
  <c r="J956" i="20" s="1"/>
  <c r="G1038" i="20"/>
  <c r="J1038" i="20" s="1"/>
  <c r="G1067" i="20"/>
  <c r="J1067" i="20" s="1"/>
  <c r="G151" i="20"/>
  <c r="J151" i="20" s="1"/>
  <c r="G605" i="20"/>
  <c r="J605" i="20" s="1"/>
  <c r="G111" i="20"/>
  <c r="J111" i="20" s="1"/>
  <c r="G802" i="20"/>
  <c r="J802" i="20" s="1"/>
  <c r="G925" i="20"/>
  <c r="J925" i="20" s="1"/>
  <c r="G21" i="20"/>
  <c r="J21" i="20" s="1"/>
  <c r="G1082" i="20"/>
  <c r="J1082" i="20" s="1"/>
  <c r="G992" i="20"/>
  <c r="J992" i="20" s="1"/>
  <c r="G1010" i="20"/>
  <c r="J1010" i="20" s="1"/>
  <c r="G619" i="20"/>
  <c r="J619" i="20" s="1"/>
  <c r="G70" i="20"/>
  <c r="J70" i="20" s="1"/>
  <c r="G82" i="20"/>
  <c r="J82" i="20" s="1"/>
  <c r="G179" i="20"/>
  <c r="J179" i="20" s="1"/>
  <c r="G185" i="20"/>
  <c r="J185" i="20" s="1"/>
  <c r="G750" i="20"/>
  <c r="J750" i="20" s="1"/>
  <c r="G823" i="20"/>
  <c r="J823" i="20" s="1"/>
  <c r="G963" i="20"/>
  <c r="J963" i="20" s="1"/>
  <c r="G1046" i="20"/>
  <c r="J1046" i="20" s="1"/>
  <c r="G79" i="20"/>
  <c r="J79" i="20" s="1"/>
  <c r="G1059" i="20"/>
  <c r="J1059" i="20" s="1"/>
  <c r="G13" i="20"/>
  <c r="J13" i="20" s="1"/>
  <c r="G73" i="20"/>
  <c r="J73" i="20" s="1"/>
  <c r="G160" i="20"/>
  <c r="J160" i="20" s="1"/>
  <c r="G302" i="20"/>
  <c r="J302" i="20" s="1"/>
  <c r="G335" i="20"/>
  <c r="J335" i="20" s="1"/>
  <c r="G602" i="20"/>
  <c r="J602" i="20" s="1"/>
  <c r="G67" i="20"/>
  <c r="J67" i="20" s="1"/>
  <c r="G127" i="20"/>
  <c r="J127" i="20" s="1"/>
  <c r="G23" i="20"/>
  <c r="J23" i="20" s="1"/>
  <c r="G48" i="20"/>
  <c r="J48" i="20" s="1"/>
  <c r="G76" i="20"/>
  <c r="J76" i="20" s="1"/>
  <c r="G287" i="20"/>
  <c r="J287" i="20" s="1"/>
  <c r="G939" i="20"/>
  <c r="J939" i="20" s="1"/>
  <c r="G979" i="20"/>
  <c r="J979" i="20" s="1"/>
  <c r="G124" i="20"/>
  <c r="J124" i="20" s="1"/>
  <c r="G169" i="20"/>
  <c r="J169" i="20" s="1"/>
  <c r="G216" i="20"/>
  <c r="J216" i="20" s="1"/>
  <c r="G375" i="20"/>
  <c r="J375" i="20" s="1"/>
  <c r="G624" i="20"/>
  <c r="G623" i="20" s="1"/>
  <c r="G831" i="20"/>
  <c r="J831" i="20" s="1"/>
  <c r="G888" i="20"/>
  <c r="J888" i="20" s="1"/>
  <c r="G909" i="20"/>
  <c r="J909" i="20" s="1"/>
  <c r="G976" i="20"/>
  <c r="J976" i="20" s="1"/>
  <c r="G172" i="20"/>
  <c r="J172" i="20" s="1"/>
  <c r="G555" i="20"/>
  <c r="J555" i="20" s="1"/>
  <c r="G627" i="20"/>
  <c r="J627" i="20" s="1"/>
  <c r="G742" i="20"/>
  <c r="J742" i="20" s="1"/>
  <c r="G783" i="20"/>
  <c r="J783" i="20" s="1"/>
  <c r="G834" i="20"/>
  <c r="J834" i="20" s="1"/>
  <c r="G196" i="20"/>
  <c r="J196" i="20" s="1"/>
  <c r="G280" i="20"/>
  <c r="J280" i="20" s="1"/>
  <c r="G760" i="20"/>
  <c r="J760" i="20" s="1"/>
  <c r="G820" i="20"/>
  <c r="J820" i="20" s="1"/>
  <c r="G860" i="20"/>
  <c r="J860" i="20" s="1"/>
  <c r="G885" i="20"/>
  <c r="J885" i="20" s="1"/>
  <c r="G997" i="20"/>
  <c r="J997" i="20" s="1"/>
  <c r="G41" i="20"/>
  <c r="J41" i="20" s="1"/>
  <c r="G985" i="20"/>
  <c r="J985" i="20" s="1"/>
  <c r="G840" i="20"/>
  <c r="J840" i="20" s="1"/>
  <c r="G209" i="20" l="1"/>
  <c r="J209" i="20" s="1"/>
  <c r="G33" i="20"/>
  <c r="J33" i="20" s="1"/>
  <c r="G351" i="20"/>
  <c r="J351" i="20" s="1"/>
  <c r="J89" i="20"/>
  <c r="G88" i="20"/>
  <c r="J352" i="20"/>
  <c r="J624" i="20"/>
  <c r="J623" i="20"/>
  <c r="J564" i="20"/>
  <c r="G563" i="20"/>
  <c r="J563" i="20" s="1"/>
  <c r="G876" i="20"/>
  <c r="J876" i="20" s="1"/>
  <c r="G96" i="20"/>
  <c r="J96" i="20" s="1"/>
  <c r="G1037" i="20"/>
  <c r="J1037" i="20" s="1"/>
  <c r="G791" i="20"/>
  <c r="J791" i="20" s="1"/>
  <c r="G1027" i="20"/>
  <c r="J1027" i="20" s="1"/>
  <c r="G298" i="20"/>
  <c r="J298" i="20" s="1"/>
  <c r="G955" i="20"/>
  <c r="J955" i="20" s="1"/>
  <c r="G934" i="20"/>
  <c r="J934" i="20" s="1"/>
  <c r="G801" i="20"/>
  <c r="J801" i="20" s="1"/>
  <c r="G340" i="20"/>
  <c r="J340" i="20" s="1"/>
  <c r="G856" i="20"/>
  <c r="J856" i="20" s="1"/>
  <c r="G192" i="20"/>
  <c r="J192" i="20" s="1"/>
  <c r="G638" i="20"/>
  <c r="J638" i="20" s="1"/>
  <c r="G1055" i="20"/>
  <c r="J1055" i="20" s="1"/>
  <c r="G1081" i="20"/>
  <c r="J1081" i="20" s="1"/>
  <c r="G108" i="20"/>
  <c r="J108" i="20" s="1"/>
  <c r="G588" i="20"/>
  <c r="J588" i="20" s="1"/>
  <c r="G1066" i="20"/>
  <c r="J1066" i="20" s="1"/>
  <c r="G331" i="20"/>
  <c r="J331" i="20" s="1"/>
  <c r="G20" i="20"/>
  <c r="J20" i="20" s="1"/>
  <c r="G1026" i="20"/>
  <c r="J1026" i="20" s="1"/>
  <c r="G222" i="20"/>
  <c r="J222" i="20" s="1"/>
  <c r="G898" i="20"/>
  <c r="J898" i="20" s="1"/>
  <c r="G806" i="20"/>
  <c r="J806" i="20" s="1"/>
  <c r="G756" i="20"/>
  <c r="J756" i="20" s="1"/>
  <c r="G773" i="20"/>
  <c r="J773" i="20" s="1"/>
  <c r="G810" i="20"/>
  <c r="J810" i="20" s="1"/>
  <c r="G1006" i="20"/>
  <c r="J1006" i="20" s="1"/>
  <c r="G924" i="20"/>
  <c r="J924" i="20" s="1"/>
  <c r="J88" i="20"/>
  <c r="G884" i="20"/>
  <c r="J884" i="20" s="1"/>
  <c r="G601" i="20"/>
  <c r="J601" i="20" s="1"/>
  <c r="G40" i="20"/>
  <c r="J40" i="20" s="1"/>
  <c r="G165" i="20"/>
  <c r="J165" i="20" s="1"/>
  <c r="G123" i="20"/>
  <c r="J123" i="20" s="1"/>
  <c r="G66" i="20"/>
  <c r="J66" i="20" s="1"/>
  <c r="G816" i="20"/>
  <c r="J816" i="20" s="1"/>
  <c r="G908" i="20"/>
  <c r="J908" i="20" s="1"/>
  <c r="G279" i="20"/>
  <c r="J279" i="20" s="1"/>
  <c r="G830" i="20"/>
  <c r="J830" i="20" s="1"/>
  <c r="G975" i="20"/>
  <c r="J975" i="20" s="1"/>
  <c r="G286" i="20"/>
  <c r="J286" i="20" s="1"/>
  <c r="G618" i="20"/>
  <c r="J618" i="20" s="1"/>
  <c r="G32" i="20"/>
  <c r="J32" i="20" s="1"/>
  <c r="G159" i="20"/>
  <c r="J159" i="20" s="1"/>
  <c r="G1045" i="20"/>
  <c r="J1045" i="20" s="1"/>
  <c r="G839" i="20"/>
  <c r="J839" i="20" s="1"/>
  <c r="G984" i="20"/>
  <c r="J984" i="20" s="1"/>
  <c r="G741" i="20"/>
  <c r="J741" i="20" s="1"/>
  <c r="G554" i="20"/>
  <c r="J554" i="20" s="1"/>
  <c r="G374" i="20"/>
  <c r="J374" i="20" s="1"/>
  <c r="G215" i="20"/>
  <c r="J215" i="20" s="1"/>
  <c r="G1036" i="20"/>
  <c r="J1036" i="20" s="1"/>
  <c r="G208" i="20"/>
  <c r="J208" i="20" s="1"/>
  <c r="G12" i="20"/>
  <c r="J12" i="20" s="1"/>
  <c r="G749" i="20"/>
  <c r="J749" i="20" s="1"/>
  <c r="G184" i="20"/>
  <c r="J184" i="20" s="1"/>
  <c r="G962" i="20"/>
  <c r="J962" i="20" s="1"/>
  <c r="G178" i="20"/>
  <c r="J178" i="20" s="1"/>
  <c r="G637" i="20" l="1"/>
  <c r="J637" i="20" s="1"/>
  <c r="G562" i="20"/>
  <c r="J562" i="20" s="1"/>
  <c r="G875" i="20"/>
  <c r="J875" i="20" s="1"/>
  <c r="G800" i="20"/>
  <c r="J800" i="20" s="1"/>
  <c r="G95" i="20"/>
  <c r="J95" i="20" s="1"/>
  <c r="G755" i="20"/>
  <c r="J755" i="20" s="1"/>
  <c r="G933" i="20"/>
  <c r="J933" i="20" s="1"/>
  <c r="G297" i="20"/>
  <c r="J297" i="20" s="1"/>
  <c r="G883" i="20"/>
  <c r="J883" i="20" s="1"/>
  <c r="G191" i="20"/>
  <c r="J191" i="20" s="1"/>
  <c r="G19" i="20"/>
  <c r="J19" i="20" s="1"/>
  <c r="G107" i="20"/>
  <c r="J107" i="20" s="1"/>
  <c r="G1005" i="20"/>
  <c r="J1005" i="20" s="1"/>
  <c r="G285" i="20"/>
  <c r="J285" i="20" s="1"/>
  <c r="G815" i="20"/>
  <c r="J815" i="20" s="1"/>
  <c r="G39" i="20"/>
  <c r="J39" i="20" s="1"/>
  <c r="G923" i="20"/>
  <c r="J923" i="20" s="1"/>
  <c r="G103" i="20"/>
  <c r="J103" i="20" s="1"/>
  <c r="G1054" i="20"/>
  <c r="J1054" i="20" s="1"/>
  <c r="G636" i="20"/>
  <c r="J636" i="20" s="1"/>
  <c r="G221" i="20"/>
  <c r="J221" i="20" s="1"/>
  <c r="G1065" i="20"/>
  <c r="J1065" i="20" s="1"/>
  <c r="G65" i="20"/>
  <c r="J65" i="20" s="1"/>
  <c r="G330" i="20"/>
  <c r="J330" i="20" s="1"/>
  <c r="G122" i="20"/>
  <c r="J122" i="20" s="1"/>
  <c r="G622" i="20"/>
  <c r="J622" i="20" s="1"/>
  <c r="G587" i="20"/>
  <c r="J587" i="20" s="1"/>
  <c r="G1077" i="20"/>
  <c r="J1077" i="20" s="1"/>
  <c r="G164" i="20"/>
  <c r="J164" i="20" s="1"/>
  <c r="G1025" i="20"/>
  <c r="J1025" i="20" s="1"/>
  <c r="G907" i="20"/>
  <c r="J907" i="20" s="1"/>
  <c r="G897" i="20"/>
  <c r="J897" i="20" s="1"/>
  <c r="G961" i="20"/>
  <c r="J961" i="20" s="1"/>
  <c r="G1035" i="20"/>
  <c r="J1035" i="20" s="1"/>
  <c r="G553" i="20"/>
  <c r="J553" i="20" s="1"/>
  <c r="G1044" i="20"/>
  <c r="J1044" i="20" s="1"/>
  <c r="G855" i="20"/>
  <c r="J855" i="20" s="1"/>
  <c r="G829" i="20"/>
  <c r="J829" i="20" s="1"/>
  <c r="G278" i="20"/>
  <c r="J278" i="20" s="1"/>
  <c r="G748" i="20"/>
  <c r="J748" i="20" s="1"/>
  <c r="G373" i="20"/>
  <c r="J373" i="20" s="1"/>
  <c r="G983" i="20"/>
  <c r="J983" i="20" s="1"/>
  <c r="G31" i="20"/>
  <c r="J31" i="20" s="1"/>
  <c r="G882" i="20"/>
  <c r="J882" i="20" s="1"/>
  <c r="G740" i="20"/>
  <c r="J740" i="20" s="1"/>
  <c r="G183" i="20"/>
  <c r="J183" i="20" s="1"/>
  <c r="G11" i="20"/>
  <c r="J11" i="20" s="1"/>
  <c r="G207" i="20"/>
  <c r="J207" i="20" s="1"/>
  <c r="G214" i="20"/>
  <c r="J214" i="20" s="1"/>
  <c r="G600" i="20"/>
  <c r="J600" i="20" s="1"/>
  <c r="G158" i="20"/>
  <c r="J158" i="20" s="1"/>
  <c r="G617" i="20"/>
  <c r="J617" i="20" s="1"/>
  <c r="G814" i="20" l="1"/>
  <c r="J814" i="20" s="1"/>
  <c r="G874" i="20"/>
  <c r="J874" i="20" s="1"/>
  <c r="G1004" i="20"/>
  <c r="J1004" i="20" s="1"/>
  <c r="G790" i="20"/>
  <c r="J790" i="20" s="1"/>
  <c r="G296" i="20"/>
  <c r="J296" i="20" s="1"/>
  <c r="G190" i="20"/>
  <c r="J190" i="20" s="1"/>
  <c r="G932" i="20"/>
  <c r="J932" i="20" s="1"/>
  <c r="G754" i="20"/>
  <c r="J754" i="20" s="1"/>
  <c r="G18" i="20"/>
  <c r="J18" i="20" s="1"/>
  <c r="G163" i="20"/>
  <c r="J163" i="20" s="1"/>
  <c r="G1076" i="20"/>
  <c r="J1076" i="20" s="1"/>
  <c r="G182" i="20"/>
  <c r="J182" i="20" s="1"/>
  <c r="G220" i="20"/>
  <c r="J220" i="20" s="1"/>
  <c r="G1053" i="20"/>
  <c r="J1053" i="20" s="1"/>
  <c r="G922" i="20"/>
  <c r="J922" i="20" s="1"/>
  <c r="G213" i="20"/>
  <c r="J213" i="20" s="1"/>
  <c r="G1043" i="20"/>
  <c r="J1043" i="20" s="1"/>
  <c r="G115" i="20"/>
  <c r="J115" i="20" s="1"/>
  <c r="G350" i="20"/>
  <c r="J350" i="20" s="1"/>
  <c r="G329" i="20"/>
  <c r="J329" i="20" s="1"/>
  <c r="G1064" i="20"/>
  <c r="J1064" i="20" s="1"/>
  <c r="G102" i="20"/>
  <c r="J102" i="20" s="1"/>
  <c r="G38" i="20"/>
  <c r="J38" i="20" s="1"/>
  <c r="G157" i="20"/>
  <c r="J157" i="20" s="1"/>
  <c r="G828" i="20"/>
  <c r="J828" i="20" s="1"/>
  <c r="G1024" i="20"/>
  <c r="J1024" i="20" s="1"/>
  <c r="G960" i="20"/>
  <c r="J960" i="20" s="1"/>
  <c r="G284" i="20"/>
  <c r="J284" i="20" s="1"/>
  <c r="G906" i="20"/>
  <c r="J906" i="20" s="1"/>
  <c r="G616" i="20"/>
  <c r="J616" i="20" s="1"/>
  <c r="G599" i="20"/>
  <c r="J599" i="20" s="1"/>
  <c r="G747" i="20"/>
  <c r="J747" i="20" s="1"/>
  <c r="G277" i="20"/>
  <c r="J277" i="20" s="1"/>
  <c r="G854" i="20"/>
  <c r="J854" i="20" s="1"/>
  <c r="G552" i="20"/>
  <c r="J552" i="20" s="1"/>
  <c r="G896" i="20"/>
  <c r="J896" i="20" s="1"/>
  <c r="G739" i="20"/>
  <c r="J739" i="20" s="1"/>
  <c r="G789" i="20" l="1"/>
  <c r="J789" i="20" s="1"/>
  <c r="G974" i="20"/>
  <c r="J974" i="20" s="1"/>
  <c r="G295" i="20"/>
  <c r="J295" i="20" s="1"/>
  <c r="G17" i="20"/>
  <c r="J17" i="20" s="1"/>
  <c r="G189" i="20"/>
  <c r="J189" i="20" s="1"/>
  <c r="G921" i="20"/>
  <c r="J921" i="20" s="1"/>
  <c r="G1075" i="20"/>
  <c r="J1075" i="20" s="1"/>
  <c r="G276" i="20"/>
  <c r="J276" i="20" s="1"/>
  <c r="G349" i="20"/>
  <c r="J349" i="20" s="1"/>
  <c r="G219" i="20"/>
  <c r="J219" i="20" s="1"/>
  <c r="G853" i="20"/>
  <c r="J853" i="20" s="1"/>
  <c r="G1042" i="20"/>
  <c r="J1042" i="20" s="1"/>
  <c r="G156" i="20"/>
  <c r="J156" i="20" s="1"/>
  <c r="G101" i="20"/>
  <c r="J101" i="20" s="1"/>
  <c r="G746" i="20"/>
  <c r="J746" i="20" s="1"/>
  <c r="G905" i="20"/>
  <c r="J905" i="20" s="1"/>
  <c r="G37" i="20"/>
  <c r="J37" i="20" s="1"/>
  <c r="G598" i="20"/>
  <c r="J598" i="20" s="1"/>
  <c r="G827" i="20"/>
  <c r="J827" i="20" s="1"/>
  <c r="G881" i="20"/>
  <c r="J881" i="20" s="1"/>
  <c r="G283" i="20" l="1"/>
  <c r="J283" i="20" s="1"/>
  <c r="G973" i="20"/>
  <c r="J973" i="20" s="1"/>
  <c r="G100" i="20"/>
  <c r="J100" i="20" s="1"/>
  <c r="G826" i="20"/>
  <c r="J826" i="20" s="1"/>
  <c r="G275" i="20"/>
  <c r="J275" i="20" s="1"/>
  <c r="G1074" i="20"/>
  <c r="J1074" i="20" s="1"/>
  <c r="G561" i="20"/>
  <c r="J561" i="20" s="1"/>
  <c r="G10" i="20"/>
  <c r="J10" i="20" s="1"/>
  <c r="G188" i="20"/>
  <c r="J188" i="20" s="1"/>
  <c r="G852" i="20"/>
  <c r="J852" i="20" s="1"/>
  <c r="G880" i="20"/>
  <c r="J880" i="20" s="1"/>
  <c r="G1041" i="20"/>
  <c r="J1041" i="20" s="1"/>
  <c r="G328" i="20"/>
  <c r="J328" i="20" s="1"/>
  <c r="G920" i="20" l="1"/>
  <c r="J920" i="20" s="1"/>
  <c r="G753" i="20"/>
  <c r="J753" i="20" s="1"/>
  <c r="G1073" i="20"/>
  <c r="J1073" i="20" s="1"/>
  <c r="G545" i="20"/>
  <c r="J545" i="20" s="1"/>
  <c r="G312" i="20"/>
  <c r="J312" i="20" s="1"/>
  <c r="G9" i="20"/>
  <c r="J9" i="20" s="1"/>
  <c r="G912" i="20" l="1"/>
  <c r="J912" i="20" s="1"/>
  <c r="G738" i="20"/>
  <c r="J738" i="20" s="1"/>
  <c r="G8" i="20" l="1"/>
  <c r="J8" i="20" s="1"/>
</calcChain>
</file>

<file path=xl/sharedStrings.xml><?xml version="1.0" encoding="utf-8"?>
<sst xmlns="http://schemas.openxmlformats.org/spreadsheetml/2006/main" count="13478" uniqueCount="821">
  <si>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</si>
  <si>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</si>
  <si>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</si>
  <si>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</si>
  <si>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</si>
  <si>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</si>
  <si>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</si>
  <si>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</si>
  <si>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</si>
  <si>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</si>
  <si>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</si>
  <si>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</si>
  <si>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</si>
  <si>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</si>
  <si>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</si>
  <si>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</si>
  <si>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</si>
  <si>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</si>
  <si>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</si>
  <si>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</si>
  <si>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</si>
  <si>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</si>
  <si>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</si>
  <si>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</si>
  <si>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</si>
  <si>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</si>
  <si>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</si>
  <si>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</si>
  <si>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</si>
  <si>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</si>
  <si>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</si>
  <si>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Субвенции бюджетам субъектов Российской Федерации и муниципальных образований</t>
  </si>
  <si>
    <t>Подраздел</t>
  </si>
  <si>
    <t>Раздел</t>
  </si>
  <si>
    <t>Непрограммные расходы представительного органа</t>
  </si>
  <si>
    <t>Расходы на выплаты по оплате труда работников административной коммиссии</t>
  </si>
  <si>
    <t>Софинансирование местного бюджета городского округа г. Владикавказ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</si>
  <si>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</si>
  <si>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</si>
  <si>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Подпрограмма "Обеспечение защиты информации"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</si>
  <si>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</si>
  <si>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</si>
  <si>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</si>
  <si>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</si>
  <si>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Субсидии бюджетам субъектов РФ и муниципальных образований (межбюджетные субсидии)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</si>
  <si>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</si>
  <si>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</si>
  <si>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</si>
  <si>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</si>
  <si>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</si>
  <si>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</si>
  <si>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</si>
  <si>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</si>
  <si>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Подпрограмма "Поддержка и совершенствование информационно-коммуникационной инфраструктуры"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</si>
  <si>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</si>
  <si>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</si>
  <si>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</si>
  <si>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</si>
  <si>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</si>
  <si>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</si>
  <si>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</si>
  <si>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</si>
  <si>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</si>
  <si>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</si>
  <si>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</si>
  <si>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</si>
  <si>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</si>
  <si>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</si>
  <si>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</si>
  <si>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</si>
  <si>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</si>
  <si>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</si>
  <si>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</si>
  <si>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</si>
  <si>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</si>
  <si>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</si>
  <si>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</si>
  <si>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</si>
  <si>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</si>
  <si>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</si>
  <si>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</si>
  <si>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</si>
  <si>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</si>
  <si>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</si>
  <si>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</si>
  <si>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</si>
  <si>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</si>
  <si>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</si>
  <si>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</si>
  <si>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</si>
  <si>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</si>
  <si>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000 1 11 05000 04 0000 120</t>
  </si>
  <si>
    <t>Подпрограмма «Обеспечение деятельности и выполнения функций УТДС АМС г.Владикавказа»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</si>
  <si>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</si>
  <si>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</si>
  <si>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</si>
  <si>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000 8 50 00000 00 0000 000</t>
  </si>
  <si>
    <t>ВСЕГО ДОХОДОВ</t>
  </si>
  <si>
    <t xml:space="preserve">Иные непрограммные расходы </t>
  </si>
  <si>
    <t>Наименование</t>
  </si>
  <si>
    <t>Целевая статья расходов</t>
  </si>
  <si>
    <t>Вид расхода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</si>
  <si>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</si>
  <si>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</si>
  <si>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</si>
  <si>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</si>
  <si>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</si>
  <si>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</si>
  <si>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</si>
  <si>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</si>
  <si>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000 1 03 02000 00 0000 000</t>
  </si>
  <si>
    <t>000 1 05 04000 02 0000 110</t>
  </si>
  <si>
    <t>000 1 11 05012 04 0000 120</t>
  </si>
  <si>
    <t>000 1 13 00000 01 0000 130</t>
  </si>
  <si>
    <t>09 7 00 00000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</si>
  <si>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</si>
  <si>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</si>
  <si>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000 1 14 02043 04 0000 410</t>
  </si>
  <si>
    <t>Субвенции бюджетам городских округов на выполнение передаваемых полномочий субъектов  Российской Федерации</t>
  </si>
  <si>
    <t>612</t>
  </si>
  <si>
    <t>Мероприятие "Проектные работы"</t>
  </si>
  <si>
    <t>78 9 00 00000</t>
  </si>
  <si>
    <t>07 2 01 00000</t>
  </si>
  <si>
    <t>605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</si>
  <si>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</si>
  <si>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</si>
  <si>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</si>
  <si>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000 1 03 00000 00 0000 000</t>
  </si>
  <si>
    <t>Налоги на товары( работы, услуги) реализуемые на территории РФ</t>
  </si>
  <si>
    <t>000 1 06 02000 02 0000 110</t>
  </si>
  <si>
    <t>Налог на имущество организаций</t>
  </si>
  <si>
    <t>Прочие неналоговые доходы</t>
  </si>
  <si>
    <t>000 1 17 00000 00 0000 180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</si>
  <si>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</si>
  <si>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</si>
  <si>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</si>
  <si>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830</t>
  </si>
  <si>
    <t>Иные источники внутреннего финансирования дефицитов бюджетов</t>
  </si>
  <si>
    <t>Публичные нормативные социальные выплаты гражданам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</si>
  <si>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</si>
  <si>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</si>
  <si>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</si>
  <si>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</si>
  <si>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</si>
  <si>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</si>
  <si>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</si>
  <si>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</si>
  <si>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</si>
  <si>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</si>
  <si>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</si>
  <si>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</si>
  <si>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</si>
  <si>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01 1 00 00000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</si>
  <si>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</si>
  <si>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</si>
  <si>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</si>
  <si>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>Налог взимаемый в связи с применением патентной системы налогообложения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</si>
  <si>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</si>
  <si>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</si>
  <si>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</si>
  <si>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</si>
  <si>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</si>
  <si>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</si>
  <si>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</si>
  <si>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</si>
  <si>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</si>
  <si>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</si>
  <si>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</si>
  <si>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</si>
  <si>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</si>
  <si>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</si>
  <si>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</si>
  <si>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</si>
  <si>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</si>
  <si>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</si>
  <si>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</si>
  <si>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</si>
  <si>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</si>
  <si>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</si>
  <si>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</si>
  <si>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</si>
  <si>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</si>
  <si>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</si>
  <si>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</si>
  <si>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</si>
  <si>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</si>
  <si>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</si>
  <si>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</si>
  <si>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</si>
  <si>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</si>
  <si>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</si>
  <si>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</si>
  <si>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</si>
  <si>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</si>
  <si>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</si>
  <si>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</si>
  <si>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</si>
  <si>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</si>
  <si>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</si>
  <si>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</si>
  <si>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</si>
  <si>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Мероприятие "Кредиторская задолженность"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</si>
  <si>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</si>
  <si>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</si>
  <si>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</si>
  <si>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</si>
  <si>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</si>
  <si>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</si>
  <si>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</si>
  <si>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</si>
  <si>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</si>
  <si>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</si>
  <si>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</si>
  <si>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</si>
  <si>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</si>
  <si>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</si>
  <si>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</si>
  <si>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</si>
  <si>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</si>
  <si>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</si>
  <si>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</si>
  <si>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</si>
  <si>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</si>
  <si>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</si>
  <si>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</si>
  <si>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04 0 00 00000</t>
  </si>
  <si>
    <t>02 0 00 00000</t>
  </si>
  <si>
    <t>08 0 00 00000</t>
  </si>
  <si>
    <t>08 3 00 00000</t>
  </si>
  <si>
    <t>000 1 11 07014 04 0000 120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</si>
  <si>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</si>
  <si>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</si>
  <si>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</si>
  <si>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</si>
  <si>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</si>
  <si>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Мероприятие "Военно-мемориальная работа"</t>
  </si>
  <si>
    <t>08 3 03 00000</t>
  </si>
  <si>
    <t>08 3 0Р 22000</t>
  </si>
  <si>
    <t>08 3 02 00000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</si>
  <si>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</si>
  <si>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</si>
  <si>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</si>
  <si>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</si>
  <si>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</si>
  <si>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</si>
  <si>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</si>
  <si>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</si>
  <si>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</si>
  <si>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</si>
  <si>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</si>
  <si>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</si>
  <si>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</si>
  <si>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</si>
  <si>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</si>
  <si>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</si>
  <si>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Доходы от оказания платных услуг (работ)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</si>
  <si>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</si>
  <si>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</si>
  <si>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</si>
  <si>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</si>
  <si>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</si>
  <si>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3 0Р 22270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</si>
  <si>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</si>
  <si>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</si>
  <si>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</si>
  <si>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</si>
  <si>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</si>
  <si>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</si>
  <si>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</si>
  <si>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</si>
  <si>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</si>
  <si>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</si>
  <si>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</si>
  <si>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</si>
  <si>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</si>
  <si>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</si>
  <si>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</si>
  <si>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</si>
  <si>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</si>
  <si>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</si>
  <si>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</si>
  <si>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</si>
  <si>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</si>
  <si>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</si>
  <si>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</si>
  <si>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</si>
  <si>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</si>
  <si>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</si>
  <si>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</si>
  <si>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</si>
  <si>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</si>
  <si>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</si>
  <si>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</si>
  <si>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</si>
  <si>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99 9 00 00102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</si>
  <si>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</si>
  <si>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</si>
  <si>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</si>
  <si>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</si>
  <si>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</si>
  <si>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</si>
  <si>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</si>
  <si>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</si>
  <si>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</si>
  <si>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</si>
  <si>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"Погашение кредиторской задолженности"</t>
  </si>
  <si>
    <t>Мероприятие "Учреждение конкурса главы АМС г.Владикавказа «Одаренные дети»"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</si>
  <si>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</si>
  <si>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</si>
  <si>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</si>
  <si>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99 9 00 00135</t>
  </si>
  <si>
    <t>Мероприятие по разработке межевых планов территорий</t>
  </si>
  <si>
    <t>Мероприятие "Устройство остановочных сооружений"</t>
  </si>
  <si>
    <t>99 9 0Ф 51200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</si>
  <si>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</si>
  <si>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</si>
  <si>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</si>
  <si>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</si>
  <si>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Мероприятие «Субсидии юридическим лицам (кроме некоммерческих организаций), индивидуальным предпринимателям, физическим лицам» (возмещение затрат, связанных с содержанием, эксплуатацией и ремонтом сетей уличного освещения)»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</si>
  <si>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</si>
  <si>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</si>
  <si>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</si>
  <si>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</si>
  <si>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</si>
  <si>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</si>
  <si>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</si>
  <si>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</si>
  <si>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</si>
  <si>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</si>
  <si>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</si>
  <si>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</si>
  <si>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</si>
  <si>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</si>
  <si>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</si>
  <si>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</si>
  <si>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</si>
  <si>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</si>
  <si>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</si>
  <si>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</si>
  <si>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</si>
  <si>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</si>
  <si>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</si>
  <si>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</si>
  <si>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</si>
  <si>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</si>
  <si>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</si>
  <si>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</si>
  <si>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</si>
  <si>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</si>
  <si>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</si>
  <si>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</si>
  <si>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</si>
  <si>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</si>
  <si>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</si>
  <si>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</si>
  <si>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</si>
  <si>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</si>
  <si>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</si>
  <si>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</si>
  <si>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</si>
  <si>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</si>
  <si>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</si>
  <si>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</si>
  <si>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</si>
  <si>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</si>
  <si>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</si>
  <si>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</si>
  <si>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>730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</si>
  <si>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</si>
  <si>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</si>
  <si>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</si>
  <si>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</si>
  <si>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</si>
  <si>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</si>
  <si>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</si>
  <si>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</si>
  <si>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</si>
  <si>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400</t>
  </si>
  <si>
    <t>Бюджетные инвестиции</t>
  </si>
  <si>
    <t>410</t>
  </si>
  <si>
    <t>870</t>
  </si>
  <si>
    <t>Целевая      статья     расходов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</si>
  <si>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</si>
  <si>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</si>
  <si>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</si>
  <si>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</si>
  <si>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</si>
  <si>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</si>
  <si>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</si>
  <si>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</si>
  <si>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</si>
  <si>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</si>
  <si>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</si>
  <si>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</si>
  <si>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</si>
  <si>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Судебная система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</si>
  <si>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</si>
  <si>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</si>
  <si>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</si>
  <si>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</si>
  <si>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</si>
  <si>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</si>
  <si>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</si>
  <si>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</si>
  <si>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</si>
  <si>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</si>
  <si>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</si>
  <si>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</si>
  <si>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</si>
  <si>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бюджета муниципального образования г.Владикавказ</t>
  </si>
  <si>
    <t>тыс.рублей</t>
  </si>
  <si>
    <t>Код бюджетной  классификации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</si>
  <si>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</si>
  <si>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</si>
  <si>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</si>
  <si>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</si>
  <si>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</si>
  <si>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</si>
  <si>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</si>
  <si>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</si>
  <si>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</si>
  <si>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</si>
  <si>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</si>
  <si>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</si>
  <si>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</si>
  <si>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</si>
  <si>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</si>
  <si>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</si>
  <si>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</si>
  <si>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</si>
  <si>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</si>
  <si>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</si>
  <si>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Акцизы на автомобильный и прямогонный бензин, дизельное топливо и моторные масла</t>
  </si>
  <si>
    <t>07 3 03 00000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</si>
  <si>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</si>
  <si>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13 0 00 00000</t>
  </si>
  <si>
    <t>99 9 0М L4970</t>
  </si>
  <si>
    <t>99 9 00 00133</t>
  </si>
  <si>
    <t>Подпрограмма "Вовлечение общественности в предупреждение правонарушений"</t>
  </si>
  <si>
    <t>12 1 00 00000</t>
  </si>
  <si>
    <t>09 5 00 00000</t>
  </si>
  <si>
    <t xml:space="preserve"> 09 7 0М S9601</t>
  </si>
  <si>
    <t>09 7 00 00110</t>
  </si>
  <si>
    <t>09 7 00 00190</t>
  </si>
  <si>
    <t>Финансовое обеспечение деятельности МБУК "Централизованная библиотечная система г.Владикавказа"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</si>
  <si>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</si>
  <si>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</si>
  <si>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</si>
  <si>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</si>
  <si>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</si>
  <si>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000 2 02 15000 00 0000 150</t>
  </si>
  <si>
    <t>000 2 02 20000 00 0000 150</t>
  </si>
  <si>
    <t>000 2 02 20216 04 0060 150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</si>
  <si>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</si>
  <si>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</si>
  <si>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</si>
  <si>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</si>
  <si>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>000 2 02 30024 04 0065 150</t>
  </si>
  <si>
    <t xml:space="preserve">000 2 02 30024 04 0067 150                 </t>
  </si>
  <si>
    <t xml:space="preserve">000 2 02 30024 04 0075 150 </t>
  </si>
  <si>
    <t>000 2 02 30029 04 0064 150</t>
  </si>
  <si>
    <t>000 2 02 35120 04 0000 150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</si>
  <si>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учреждениях)</t>
  </si>
  <si>
    <t>Иные межбюджетные трансферты</t>
  </si>
  <si>
    <t xml:space="preserve">000  2 02 45393 04 0000 150
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</si>
  <si>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</si>
  <si>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на учреждение по обеспечению хозяйственного обслуживания ВМКУ ТХО АМС г.Владикавказа</t>
  </si>
  <si>
    <t>Мероприятие "Создание системы видеонаблюдения в подведомственных образовательных учреждениях"</t>
  </si>
  <si>
    <t>Мероприятие "Создание системы видеонаблюдения на территории муниципального образования г.Владикавказ"</t>
  </si>
  <si>
    <t>01 2 01 00111</t>
  </si>
  <si>
    <t>01 2 02 00112</t>
  </si>
  <si>
    <t>Мероприятие "Организация защиты информационных систем персональных данных (ИСПДн)"</t>
  </si>
  <si>
    <t>Подпрограмма "Мониторинг социально-экономических и иных процессов, оказывающих влияние на ситуацию в области профилактики терроризма на территории г.Владикавказ"</t>
  </si>
  <si>
    <t>06 2 00 00000</t>
  </si>
  <si>
    <t>Мероприятие "Организация и проведение конференций, семинаров, «круглых столов», участие в семинарах, конференциях и выставках по вопросам малого и среднего предпринимательства"</t>
  </si>
  <si>
    <t>99 9 00 00129</t>
  </si>
  <si>
    <t xml:space="preserve">Единовременная выплата на приобретение жилого помещения для людей страдающих тяжелыми формами хронических заболеваний </t>
  </si>
  <si>
    <t>99 9 00 00136</t>
  </si>
  <si>
    <t>Муниципальная программа "Профилактика правонарушений в городе Владикавказе на 2020-2022 годы"</t>
  </si>
  <si>
    <t>Подпрограмма "Реализация мероприятий в области физической культуры и спорта, пропаганда здорового образа жизни"</t>
  </si>
  <si>
    <t xml:space="preserve">04 </t>
  </si>
  <si>
    <t>03 3 R1 53934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</si>
  <si>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</si>
  <si>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</si>
  <si>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Мероприятие "Возмещение убытков от финансово-хозяйственной деятельности предприятия, связанных с образовавшейся межтарифной разницей"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</si>
  <si>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</si>
  <si>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</si>
  <si>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Субсидия на дорожную деятельность в отношении автомобильных дорог общего пользования местного значения</t>
  </si>
  <si>
    <t>Мероприятие "Развитие библиотечного дела в библиотеках МО г.Владикавказа"</t>
  </si>
  <si>
    <t>13 0 F2 55554</t>
  </si>
  <si>
    <t>04 0 12 00172</t>
  </si>
  <si>
    <t>Мероприятие "Благоустройство парков, скверов и набережных"</t>
  </si>
  <si>
    <t>Мероприятие "Благоустройство угловых зон отдыха"</t>
  </si>
  <si>
    <t>Мероприятие "Установка аншлагов"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</si>
  <si>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</si>
  <si>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Софинансирование на обеспечение мероприятий по переселению граждан из аварийного жилищного фонда</t>
  </si>
  <si>
    <t>10 0 0М L0270</t>
  </si>
  <si>
    <t>Мероприятие "Ремонт детских и спортивных площадок"</t>
  </si>
  <si>
    <t>Подпрограмма "Ремонт зданий и объектов муниципальной собственности"</t>
  </si>
  <si>
    <t>Мероприятие "Паспортизация многоквартирных домов, имеющих непосредственную форму управления и в которых жильцами неопределена форма управления"</t>
  </si>
  <si>
    <t>350</t>
  </si>
  <si>
    <t>Мероприятие "Приобретение энергосберегающего оборудования"</t>
  </si>
  <si>
    <t>Мероприятия по благоустройству городского округа</t>
  </si>
  <si>
    <t>Подпрограмма "Обеспечение создания условий для реализации муниципальной программы "Развитие образования г.Владикавказа на 2020 год и на плановый период 2021-2022 годы"</t>
  </si>
  <si>
    <t>Премии и гранты</t>
  </si>
  <si>
    <t>Мероприятие "Ремонт проспекта Мира в г.Владикавказ"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</si>
  <si>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 " (Реконструкция, капитальный ремонт и ремонт автомобильных дорог местного значения (улично-дорожной сети)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</si>
  <si>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</si>
  <si>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000 2 02 25299 04 0000 150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</si>
  <si>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
</t>
  </si>
  <si>
    <t>Субсидия на софинансирование расходов на обустройство и восстановление воинских захоронений</t>
  </si>
  <si>
    <t>04 0 0P L2990</t>
  </si>
  <si>
    <t>Софинансирование расходов на обустройство и восстановление воинских захоронений</t>
  </si>
  <si>
    <t>04 0 0М L2990</t>
  </si>
  <si>
    <t xml:space="preserve">Реализация мероприятий по формированию современной городской среды </t>
  </si>
  <si>
    <t>13 0 F2 55550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</si>
  <si>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</si>
  <si>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</si>
  <si>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</si>
  <si>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99 9 00 00130</t>
  </si>
  <si>
    <t>09 7 F3 67483</t>
  </si>
  <si>
    <t>09 7 F3 67484</t>
  </si>
  <si>
    <t>09 7 F3 6748S</t>
  </si>
  <si>
    <t>Расходы на содержание казенных учреждений (МКУ "Правовое обеспечение")</t>
  </si>
  <si>
    <t>99 9 00 00115</t>
  </si>
  <si>
    <t>99 9 00 00117</t>
  </si>
  <si>
    <t>Муниципальная программа "Информатизация АМС г.Владикавказа"</t>
  </si>
  <si>
    <t>Мероприятие "Сопровождение информационных систем АМС г.Владикавказа"</t>
  </si>
  <si>
    <t>01 1 01 00103</t>
  </si>
  <si>
    <t>Мероприятие "Оплата услуг городской, междугородней и международной телефонной связи для АМС г.Владикавказа"</t>
  </si>
  <si>
    <t>01 1 02 00104</t>
  </si>
  <si>
    <t>01 1 03 00105</t>
  </si>
  <si>
    <t>Мероприятие "Обеспечение доступа к сети Интернет для АМС г.Владикавказа и подведомственных образовательных учреждений"</t>
  </si>
  <si>
    <t>Мероприятие "Предоставление цифровых оптоволоконных каналов связи для АМС г.Владикавказа и подведомственных образовательных учреждений"</t>
  </si>
  <si>
    <t>01 1 04 00106</t>
  </si>
  <si>
    <t>01 1 05 00107</t>
  </si>
  <si>
    <t>01 1 06 00108</t>
  </si>
  <si>
    <t>01 1 07 00109</t>
  </si>
  <si>
    <t>Мероприятие "Приобретение электронных подписей"</t>
  </si>
  <si>
    <t>Муниципальная программа "Профилактика экстремизма и терроризма в городе Владикавказе на 2021-2023 годы"</t>
  </si>
  <si>
    <t>Мероприятие "Проведение мониторинга политических, социально-экономических и иных процессов, оказывающих влияние на ситуацию в области профилактики терроризма в г.Владикавказе"</t>
  </si>
  <si>
    <t>06 2 01 00114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</si>
  <si>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</si>
  <si>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99 9 00 00118</t>
  </si>
  <si>
    <t>99 9 00 00119</t>
  </si>
  <si>
    <t>Мероприятие "Субсидирование процентных ставок предприятиям малого и среднего предпринимательства"</t>
  </si>
  <si>
    <t>05 0 01 00120</t>
  </si>
  <si>
    <t>Мероприятие "Поддержка проектов, направленных на развитие туристической деятельности (общественное питание, бытовое обслуживание, изготовление и продажа сувенирной продукции и т.д."</t>
  </si>
  <si>
    <t>05 0 02 00121</t>
  </si>
  <si>
    <t>Мероприятие "Организация консультативной поддержки субъектам малого и среднего предпринимательства по вопросам кредитования, налогообложения, бухгалтерского учета, преодоления административных барьеров, в том числе и на принципах аутсорсинга"</t>
  </si>
  <si>
    <t>05 0 03 00122</t>
  </si>
  <si>
    <t>Мероприятие "Подготовка и издание информационно-справочных пособий для предпринимателей (до 2 изданий в год) по вопросам налогообложения, бухгалтерского учета, кредитования и других вопросов, связанных с началом предпринимательской деятельности"</t>
  </si>
  <si>
    <t>05 0 04 00123</t>
  </si>
  <si>
    <t xml:space="preserve">Мероприятие "Организация проведения и обеспечение участия в выставках, форумах с целью информирования об инвестиционном потенциале г.Владикавказа, а также представления инвестиционных проектов, реализуемых (возможных к реализации) в г.Владикавказе" </t>
  </si>
  <si>
    <t>05 0 07 00126</t>
  </si>
  <si>
    <t>05 0 05 00124</t>
  </si>
  <si>
    <t>05 0 06 00125</t>
  </si>
  <si>
    <t>Мероприятие "Поддержка экспортной деятельности (выделение субсидий, организация и проведение выставок, ярмарок, коллективных стендов малых и средних предприятий на выставочных мероприятиях"</t>
  </si>
  <si>
    <t>Мероприятие "Подготовка технических заданий, тех.условий проектов муниципально-частного партнерства"</t>
  </si>
  <si>
    <t>05 0 08 00127</t>
  </si>
  <si>
    <t xml:space="preserve">Мероприятие "Презентация инвестиционного потенциала г.Владикавказа в федеральных и региональных СМИ" </t>
  </si>
  <si>
    <t>05 0 09 00128</t>
  </si>
  <si>
    <t>Муниципальная целевая программа «Социальная 
поддержка нуждающегося населения г.Владикавказа"</t>
  </si>
  <si>
    <t>02 0 01 00131</t>
  </si>
  <si>
    <t>99 9 00 00132</t>
  </si>
  <si>
    <t>Администрация (префектура) внутригородского Иристонского района г.Владикавказа</t>
  </si>
  <si>
    <t>Мероприятие "Стимулирование деятельности народных дружинников"</t>
  </si>
  <si>
    <t>12 1 02 00134</t>
  </si>
  <si>
    <t>Молодежная политика</t>
  </si>
  <si>
    <t>Администрация (префектура) внутригородского Северо-Западного района г.Владикавказа</t>
  </si>
  <si>
    <t>607</t>
  </si>
  <si>
    <t>Администрация (префектура) внутригородского Промышленного района г.Владикавказа</t>
  </si>
  <si>
    <t>608</t>
  </si>
  <si>
    <t>Муниципальная программа "Развитие молодежной политики, физической культуры и спорта в МО г.Владикавказ на 2021-2023 годы"</t>
  </si>
  <si>
    <t>11 1 01 00137</t>
  </si>
  <si>
    <t>11 2 01 00138</t>
  </si>
  <si>
    <t>11 3 01 00139</t>
  </si>
  <si>
    <t>Муниципальная программа "Развитие транспортной инфраструктуры г.Владикавказа"</t>
  </si>
  <si>
    <t>03 2 01 00140</t>
  </si>
  <si>
    <t>Подпрограмма «Автомобильные дороги и улично-дорожная сеть (строительство, реконструкция, ремонт и содержание автомобильных дорог) г.Владикавказа»</t>
  </si>
  <si>
    <t>03 3 01 00141</t>
  </si>
  <si>
    <t>03 4 01 00144</t>
  </si>
  <si>
    <t>03 4 02 00145</t>
  </si>
  <si>
    <t>Муниципальная программа «Развитие культуры г.Владикавказа"</t>
  </si>
  <si>
    <t xml:space="preserve">Управление культуры администрации местного самоуправления г.Владикавказа </t>
  </si>
  <si>
    <t>КУЛЬТУРА, КИНЕМАТОГРАФИЯ</t>
  </si>
  <si>
    <t>08 1 01 00146</t>
  </si>
  <si>
    <t>08 1 02 00147</t>
  </si>
  <si>
    <t>08 1 03 00148</t>
  </si>
  <si>
    <t>Мероприятие "Издание и приобретение книг и иной печатной продукции, визуальной аудио продукции о г.Владикавказе, РСО-Алании"</t>
  </si>
  <si>
    <t>08 1 05 00150</t>
  </si>
  <si>
    <t>08 1 07 00152</t>
  </si>
  <si>
    <t xml:space="preserve">Молодёжная политика </t>
  </si>
  <si>
    <t>08 2 01 00155</t>
  </si>
  <si>
    <t>08 2 02 00156</t>
  </si>
  <si>
    <t>08 2 03 00157</t>
  </si>
  <si>
    <t>Мероприятие "Развитие системы художественно-эстетического образования в сфере культуры МО г.Владикавказа"</t>
  </si>
  <si>
    <t>08 3 01 00158</t>
  </si>
  <si>
    <t>08 3 02 00159</t>
  </si>
  <si>
    <t>08 3 03 00160</t>
  </si>
  <si>
    <t>04 0 10 00170</t>
  </si>
  <si>
    <t>04 0 01 00161</t>
  </si>
  <si>
    <t>04 0 02 00162</t>
  </si>
  <si>
    <t>04 0 03 00163</t>
  </si>
  <si>
    <t>04 0 05 00165</t>
  </si>
  <si>
    <t>04 0 06 00166</t>
  </si>
  <si>
    <t>04 0 07 00167</t>
  </si>
  <si>
    <t>04 0 08 00168</t>
  </si>
  <si>
    <t>04 0 09 00169</t>
  </si>
  <si>
    <t>04 0 11 00171</t>
  </si>
  <si>
    <t xml:space="preserve">Другие вопросы в области национальной экономики
</t>
  </si>
  <si>
    <t>10 0 01 00173</t>
  </si>
  <si>
    <t>10 0 02 00174</t>
  </si>
  <si>
    <t>10 0 03 00175</t>
  </si>
  <si>
    <t>10 0 05 00169</t>
  </si>
  <si>
    <t>Мероприятие "Строительство общественных туалетов  в г.Владикавказе"</t>
  </si>
  <si>
    <t>10 0 08 00179</t>
  </si>
  <si>
    <t>10 0 09 00180</t>
  </si>
  <si>
    <t>10 0 10 00181</t>
  </si>
  <si>
    <t>10 0 11 00182</t>
  </si>
  <si>
    <t>Мероприятие "Ремонт здания художественной школы по пр.Коста, 181 в г.Владикавказ"</t>
  </si>
  <si>
    <t>10 0 13 00184</t>
  </si>
  <si>
    <t>Муниципальная программа "Развитие жилищно-коммунального хозяйства муниципального образования город Владикавказ"</t>
  </si>
  <si>
    <t>Мероприятие "Ремонт муниципальных квартир"</t>
  </si>
  <si>
    <t>09 2 02 00191</t>
  </si>
  <si>
    <t>Подпрограмма "Капитальный ремонт многоквартирных домов в г.Владикавказе"</t>
  </si>
  <si>
    <t>Мероприятие "Ремонт бойлеров в многоквартирных домах"</t>
  </si>
  <si>
    <t>09 1 01 00187</t>
  </si>
  <si>
    <t>09 1 02 00188</t>
  </si>
  <si>
    <t>Подпрограмма "Снос аварийного жилья"</t>
  </si>
  <si>
    <t>Мероприятие "Обследование и подготовка технических заключений для ветхих и аварийных домов"</t>
  </si>
  <si>
    <t>09 5 01 00195</t>
  </si>
  <si>
    <t>09 5 02 00196</t>
  </si>
  <si>
    <t>09 5 03 00197</t>
  </si>
  <si>
    <t>Оплата взносов на капитальный ремонт за муниципальные жилые и нежилые помещения, расположенные в многоквартирных домах</t>
  </si>
  <si>
    <t xml:space="preserve"> 09 7 04 00201</t>
  </si>
  <si>
    <t>Подпрограмма "Энергосбережение и повышение энергетической эффективности"</t>
  </si>
  <si>
    <t>Мероприятие "Проектирование, строительство и ремонт сетей уличного освещения"</t>
  </si>
  <si>
    <t>09 3 01 00192</t>
  </si>
  <si>
    <t>09 3 02 00193</t>
  </si>
  <si>
    <t>Подпрограмма "Обеспечение безопасности и надежности систем инженерно-технического обеспечения"</t>
  </si>
  <si>
    <t>Мероприятие "Обеспечение безопасности и надежности систем инженерно-технического обеспечения"</t>
  </si>
  <si>
    <t>09 4 01 00194</t>
  </si>
  <si>
    <t>Подпрограмма "Техническое оснащение коммунальной инфраструктуры"</t>
  </si>
  <si>
    <t>09 6 00 00000</t>
  </si>
  <si>
    <t>Мероприятие "Техническое оснащение коммунальной инфраструктуры"</t>
  </si>
  <si>
    <t>09 6 01 00198</t>
  </si>
  <si>
    <t>Мероприятие "Аварийное обслуживание сетей ливневой канализации"</t>
  </si>
  <si>
    <t>09 7 07 00204</t>
  </si>
  <si>
    <t xml:space="preserve"> 09 7 02 00199</t>
  </si>
  <si>
    <t xml:space="preserve"> 09 7 05 00202</t>
  </si>
  <si>
    <t>Мероприятие "Уличное освещение, электрическая энергия"</t>
  </si>
  <si>
    <t xml:space="preserve"> 09 7 06 00203</t>
  </si>
  <si>
    <t xml:space="preserve"> 09 7 03 00200</t>
  </si>
  <si>
    <t>99 9 00 00205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</si>
  <si>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</si>
  <si>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</si>
  <si>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99 9 00 00206</t>
  </si>
  <si>
    <t>99 9 00 00207</t>
  </si>
  <si>
    <t>07 1 01 00208</t>
  </si>
  <si>
    <t>07 1 02 00209</t>
  </si>
  <si>
    <t>07 3 03 00217</t>
  </si>
  <si>
    <t>07 1 03 00210</t>
  </si>
  <si>
    <t>07 1 04 00211</t>
  </si>
  <si>
    <t>07 1 05 00212</t>
  </si>
  <si>
    <t>07 2 01 00213</t>
  </si>
  <si>
    <t>07 2 02 00214</t>
  </si>
  <si>
    <t>07 2 03 00215</t>
  </si>
  <si>
    <t>07 3 02 00216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</si>
  <si>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</si>
  <si>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Администрация (префектура) внутригородского Затеречного района г.Владикавказа</t>
  </si>
  <si>
    <t>Муниципальная программа "Благоустройство и озеленение г.Владикавказа" на 2021-2023 годы</t>
  </si>
  <si>
    <t>Муниципальная программа «Поддержка и развитие малого, среднего предпринимательства и инвестиционной деятельности в г.Владикавказе"</t>
  </si>
  <si>
    <t>Муниципальная программа «Развитие образования города Владикавказа"</t>
  </si>
  <si>
    <t>Муниципальная программа"Городская инвестиционная программа г.Владикавказа на 2021 год и плановый период 2022-2023 годы"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</si>
  <si>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</si>
  <si>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Закупка товаров, работ и услуг для государственных (муниципальных) нужд</t>
  </si>
  <si>
    <t>Другие общегосударственные  вопросы</t>
  </si>
  <si>
    <t>99 9 0Р 00000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</si>
  <si>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</si>
  <si>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</si>
  <si>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Молодёжная политика и оздоровление детей</t>
  </si>
  <si>
    <t xml:space="preserve">Занятость школьников в период летних каникул </t>
  </si>
  <si>
    <t>Уплата прочих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</si>
  <si>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</si>
  <si>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содержание МКУ "Правовое обеспечение"</t>
  </si>
  <si>
    <t>Расходы на учреждение по обеспечению хозяйственного обслуживания ВМКУ ТХО АМС г. Владикавказа</t>
  </si>
  <si>
    <t xml:space="preserve">Обеспечение функционирования органов местного самоуправления </t>
  </si>
  <si>
    <t>Расходы на обеспечение функций Финансового управления АМС  г.Владикавказ</t>
  </si>
  <si>
    <t>Расходы на выплаты по оплате труда работников Финансового управления АМС  г.Владикавказ</t>
  </si>
  <si>
    <t xml:space="preserve">Обеспечение функционирования Финансового управления АМС  г.Владикавказ </t>
  </si>
  <si>
    <t xml:space="preserve"> Обеспечение деятельности финансовых, налоговых и таможенных
 органов и органов финансового (финансово-бюджетного) надзора
</t>
  </si>
  <si>
    <t>Обеспечение функционирования Контрольно-счетной палаты  муниципального образования г.Владикавказ (Дзауджикау)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</si>
  <si>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</si>
  <si>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>Обеспечение функционирования Собрания представителей г.Владикавказ</t>
  </si>
  <si>
    <t>Обеспечение функционирования Главы  муниципального образования</t>
  </si>
  <si>
    <t>Непрограммные расходы органов местного самоуправления г.Владикавказ</t>
  </si>
  <si>
    <t xml:space="preserve"> Другие вопросы в области физической культуры и спорта</t>
  </si>
  <si>
    <t xml:space="preserve"> Благоустройство</t>
  </si>
  <si>
    <t xml:space="preserve"> Другие вопросы в области национальной экономики</t>
  </si>
  <si>
    <t xml:space="preserve"> Другие вопросы в области жилищно-коммунального хозяйства</t>
  </si>
  <si>
    <t xml:space="preserve"> Жилищное хозяйство</t>
  </si>
  <si>
    <t xml:space="preserve"> Дополнительное образование детей</t>
  </si>
  <si>
    <t xml:space="preserve"> Другие вопросы в области образования</t>
  </si>
  <si>
    <t xml:space="preserve"> Охрана семьи и детства</t>
  </si>
  <si>
    <t xml:space="preserve"> Социальное обеспечение населения</t>
  </si>
  <si>
    <t xml:space="preserve"> Лесное хозяйство</t>
  </si>
  <si>
    <t xml:space="preserve"> НАЦИОНАЛЬНАЯ ЭКОНОМИКА</t>
  </si>
  <si>
    <t xml:space="preserve"> Транспорт</t>
  </si>
  <si>
    <t>ВСЕГО</t>
  </si>
  <si>
    <t>000 2 02 20302 04 0000 150</t>
  </si>
  <si>
    <t>Мероприятие "Поддержка экспортной деятельности (выделение субсидий, организация и проведение выставок, ярмарок, коллективных стендов малых и средних предприятий на выставочных мероприятиях)"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</si>
  <si>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</si>
  <si>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</si>
  <si>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</si>
  <si>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 1 0Ф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</si>
  <si>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</si>
  <si>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1 0P R3040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</si>
  <si>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</si>
  <si>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</si>
  <si>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Поощрение за достижение показателей деятельности органов исполнительной власти субъектов Российской Федерации</t>
  </si>
  <si>
    <t>99 9 00 5549F</t>
  </si>
  <si>
    <t>99 9 00 55500</t>
  </si>
  <si>
    <t>Мероприятие "Проекты планировки территорий г.Владикавказа"</t>
  </si>
  <si>
    <t>Публичные нормативные выплаты гражданам несоциального характера</t>
  </si>
  <si>
    <t>330</t>
  </si>
  <si>
    <t>03 3 02 00219</t>
  </si>
  <si>
    <t>Подпрограмма "Реализация мероприятий в области молодежной политики"</t>
  </si>
  <si>
    <t>000 2 02 49999 04 0147 150</t>
  </si>
  <si>
    <t>Прочие межбюджетные трансферты, передаваемые бюджетам городских округов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</si>
  <si>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000 2 02 25497 04 0000 150</t>
  </si>
  <si>
    <t>99 9 0P L4970</t>
  </si>
  <si>
    <t>Обеспечение жильем молодых семей</t>
  </si>
  <si>
    <t>Мероприятие "Капитальный ремонт зоопарка в г.Владикавказ"</t>
  </si>
  <si>
    <t>10 0 17 00221</t>
  </si>
  <si>
    <t xml:space="preserve"> Физическая культура</t>
  </si>
  <si>
    <t>Реализация мероприятий по обеспечению жильем молодых семей за счет средств бюджетов</t>
  </si>
  <si>
    <t>Реализация мероприятий по обеспечению жильем молодых семей за счет средств местного бюджета</t>
  </si>
  <si>
    <t>Расходы на обеспечение функций административной коммиссии</t>
  </si>
  <si>
    <t xml:space="preserve"> Компенсация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</si>
  <si>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>Организация бесплатного горячего питания обучающихся, признанных малоимущими, и обучающихся с ограниченными возможностями здоровья, получающих основное общее и срнднее общее образование</t>
  </si>
  <si>
    <t>07 1 0Р 10484</t>
  </si>
  <si>
    <t>000 2 02 49999 04 0148 150</t>
  </si>
  <si>
    <t>Прочие межбюджетные трансферты, передаваемые бюджетам городских округов (Организацию бесплатного горячего питания обучающихся из семей, признанных малоимущими, и обучающихся с ограниченными возможностями здоровья, получающих основное общее и среднее общее образование в муниципальных образовательных организациях)</t>
  </si>
  <si>
    <t>000 2 02 49999 04 0066 150</t>
  </si>
  <si>
    <t>Прочие межбюджетные трансферты, передаваемые бюджетам городских округов (реализация мероприятий активной политики занятости)</t>
  </si>
  <si>
    <t>Общеэкономические вопросы</t>
  </si>
  <si>
    <t>Реализация мероприятий активной занятости населения за счет средств республиканского бюджета</t>
  </si>
  <si>
    <t>99 9 0Р 21670</t>
  </si>
  <si>
    <t>Мероприятие "Строительство. реконструкция. капитальный ремонт и ремонт автомобильных дорог и дворовых территориц местного значения (улично-дорожной сети) г.Владикавказа" (за счет средств местного бюджета)</t>
  </si>
  <si>
    <t>Софинансирование на проведение работ по капитальному ремонту трамвайных рельс и межрельсового полотна городского пассажирского транспорта на улично-дорожной сети г.Владикавказ</t>
  </si>
  <si>
    <t>03 3 0М 55495</t>
  </si>
  <si>
    <t>Проведение работ по капитальному ремонту трамвайных рельс и межрельсового полотна городского пассажирского транспорта на улично-дорожной сети г.Владикавказ</t>
  </si>
  <si>
    <t>03 3 0Р 55495</t>
  </si>
  <si>
    <t>000 2 02 16549 04 0000 150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</si>
  <si>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</si>
  <si>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Резервный фонд Главы Республики Северная Осетия-Алания и Правительства Республики Северная Осетия-Алания</t>
  </si>
  <si>
    <t>99 7 00 99700</t>
  </si>
  <si>
    <t>Мероприятие "Установка, реставрация и текущий ремонт памятников и объектов культуры, расположенных на территории г.Владикавказа"</t>
  </si>
  <si>
    <t>08 1 04 00149</t>
  </si>
  <si>
    <t>000 2 02 35469 04 0000 150</t>
  </si>
  <si>
    <t>Субвенции бюджетам городских округов на проведение Всероссийской переписи населения 2020 года</t>
  </si>
  <si>
    <t>Проведение Всероссийской переписи населения 2020 года</t>
  </si>
  <si>
    <t>99 9 00 54690</t>
  </si>
  <si>
    <t>Мероприятие "Ремонт зданий учреждений культуры"</t>
  </si>
  <si>
    <t>10 0 18 00222</t>
  </si>
  <si>
    <t>Мероприятие "Ремонт мостов в г.Владикавказе"</t>
  </si>
  <si>
    <t>10 0 19 00223</t>
  </si>
  <si>
    <t>000 2 02 49999 04 0102 150</t>
  </si>
  <si>
    <t>99 9 00 55491</t>
  </si>
  <si>
    <t xml:space="preserve">ЖИЛИЩНО-КОММУНАЛЬНОЕ ХОЗЯЙСТВО
</t>
  </si>
  <si>
    <t xml:space="preserve"> Другие вопросы в области жилищно-коммунального хозяйства
</t>
  </si>
  <si>
    <t xml:space="preserve">КУЛЬТУРА, КИНЕМАТОГРАФИЯ
</t>
  </si>
  <si>
    <t xml:space="preserve">Другие вопросы в области культуры, кинематографии
</t>
  </si>
  <si>
    <t>Поощрение за достижение показателей деятельности органов местного самоуправления</t>
  </si>
  <si>
    <t>Начальник Финансового управления __________________   К.Цоков</t>
  </si>
  <si>
    <t>Оценка ожидаемого исполнения ведомственной структуры расходов бюджета муниципального образования г.Владикавказ на 2021 год</t>
  </si>
  <si>
    <t>% исполнения</t>
  </si>
  <si>
    <t>Уточненный план на 01.11.2021 года</t>
  </si>
  <si>
    <t>Исполнение на 01.11.2021 года</t>
  </si>
  <si>
    <t xml:space="preserve">Оценка за 2021 год </t>
  </si>
  <si>
    <t>Оценка ожидаемого исполнения по целевым статьям (муниципальным и ведомственным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</si>
  <si>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>Оценка ожидаемого исполнения по источникам финансирования дефицита</t>
  </si>
  <si>
    <t>Оценка ожидаемого исполнения бюджета муниципального образования г.Владикавказ</t>
  </si>
  <si>
    <t>по доходам за 2021 год</t>
  </si>
  <si>
    <t>Уточненный план на 01.11.2021</t>
  </si>
  <si>
    <t>Исполнение на 01.11.2021</t>
  </si>
  <si>
    <t>Оценка на 2021 год</t>
  </si>
  <si>
    <t>К.В. Цоков</t>
  </si>
  <si>
    <t>10 0 20 00224</t>
  </si>
  <si>
    <t>Мероприятие "Приобретение и установка туалетов"</t>
  </si>
  <si>
    <t>08 1 08 00153</t>
  </si>
  <si>
    <t>Мероприятие "Фестиваль "Граффити"</t>
  </si>
  <si>
    <t>-</t>
  </si>
  <si>
    <t>03 3 03 00143</t>
  </si>
  <si>
    <t>Мероприятие  "Разработка проектно-сметной документации"</t>
  </si>
  <si>
    <t xml:space="preserve"> на 2021 год </t>
  </si>
  <si>
    <t xml:space="preserve">на 2021 год </t>
  </si>
  <si>
    <t>,</t>
  </si>
  <si>
    <t>Начальник Финансового управления __________________   К Цоков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</si>
  <si>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</si>
  <si>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</si>
  <si>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остатков субсидий и субвенций прошлых лет</t>
  </si>
  <si>
    <t>000 2 19 00000 04 0000 151</t>
  </si>
  <si>
    <t>более, чем в 10 раз</t>
  </si>
  <si>
    <t>Прочие межбюджетные трансферты, передаваемые бюджетам городских округов (Резервный фонд Главы Республики Северная Осетия-Алания и Правительства Республики Северная Осетия-Алания)</t>
  </si>
  <si>
    <t>000 2 02 40000 00 0000 150</t>
  </si>
  <si>
    <t>Субвенции на выплату компенсации части родительской платы за содержание ребенка в муниципальных образовательных учреждениях</t>
  </si>
  <si>
    <t xml:space="preserve">Субсидии бюджетам городских округов на реализацию программ формирования современной городской среды
</t>
  </si>
  <si>
    <t>000 2 02 25555 04 0000 150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</si>
  <si>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</si>
  <si>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</si>
  <si>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  000 2 02 20299 04 0000 150</t>
  </si>
  <si>
    <t>более, чем в 2 раза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</si>
  <si>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</si>
  <si>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</si>
  <si>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Задолженность и перерасчеты по отмененным налогам, сборам и иным и иным обязательным платежам</t>
  </si>
  <si>
    <t>182 1 09 00000 00 0000 000</t>
  </si>
  <si>
    <t>Наименование дохода</t>
  </si>
  <si>
    <t xml:space="preserve">Оценка ожидаемого исполнения распределения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на 2021 год </t>
  </si>
  <si>
    <t>000 2 02 15001 04 0000 150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</si>
</sst>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#,##0.0_ ;\-#,##0.0\ "/>
    <numFmt numFmtId="170" formatCode="_-* #,##0.0\ _₽_-;\-* #,##0.0\ _₽_-;_-* &quot;-&quot;?\ _₽_-;_-@_-"/>
    <numFmt numFmtId="171" formatCode="_-* #,##0.0\ _₽_-;\-* #,##0.0\ _₽_-;_-* &quot;-&quot;??\ _₽_-;_-@_-"/>
  </numFmts>
  <fonts count="3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color rgb="FF000000"/>
      <name val="Arial Cyr"/>
    </font>
    <font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name val="TimesNewRomanPSMT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3">
      <alignment horizontal="left" wrapText="1" indent="2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7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6" fontId="1" fillId="0" borderId="0" xfId="4" applyNumberFormat="1"/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66" fontId="4" fillId="0" borderId="0" xfId="4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justify" vertical="top" wrapText="1"/>
    </xf>
    <xf numFmtId="0" fontId="2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167" fontId="5" fillId="2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6" fontId="9" fillId="0" borderId="0" xfId="4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Fill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wrapText="1"/>
    </xf>
    <xf numFmtId="166" fontId="9" fillId="0" borderId="1" xfId="4" applyNumberFormat="1" applyFont="1" applyBorder="1" applyAlignment="1">
      <alignment horizontal="right" vertical="center" wrapText="1"/>
    </xf>
    <xf numFmtId="166" fontId="5" fillId="0" borderId="1" xfId="4" applyNumberFormat="1" applyFont="1" applyBorder="1" applyAlignment="1">
      <alignment horizontal="right" vertical="center" wrapText="1"/>
    </xf>
    <xf numFmtId="166" fontId="5" fillId="2" borderId="1" xfId="4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6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6" fontId="9" fillId="0" borderId="1" xfId="4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25" fillId="0" borderId="0" xfId="0" applyFont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9" fontId="15" fillId="3" borderId="1" xfId="0" applyNumberFormat="1" applyFont="1" applyFill="1" applyBorder="1" applyAlignment="1">
      <alignment vertical="top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7" fontId="15" fillId="3" borderId="1" xfId="4" applyNumberFormat="1" applyFont="1" applyFill="1" applyBorder="1" applyAlignment="1">
      <alignment horizontal="right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167" fontId="19" fillId="3" borderId="1" xfId="4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7" fontId="10" fillId="3" borderId="1" xfId="4" applyNumberFormat="1" applyFont="1" applyFill="1" applyBorder="1" applyAlignment="1">
      <alignment horizontal="right" vertical="center" wrapText="1"/>
    </xf>
    <xf numFmtId="0" fontId="1" fillId="3" borderId="0" xfId="0" applyFont="1" applyFill="1"/>
    <xf numFmtId="49" fontId="19" fillId="3" borderId="1" xfId="0" applyNumberFormat="1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7" fontId="16" fillId="3" borderId="1" xfId="4" applyNumberFormat="1" applyFont="1" applyFill="1" applyBorder="1" applyAlignment="1">
      <alignment horizontal="right" vertical="center" wrapText="1"/>
    </xf>
    <xf numFmtId="49" fontId="21" fillId="3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top" wrapText="1"/>
    </xf>
    <xf numFmtId="166" fontId="15" fillId="3" borderId="1" xfId="4" applyNumberFormat="1" applyFont="1" applyFill="1" applyBorder="1" applyAlignment="1">
      <alignment horizontal="right" vertical="center" wrapText="1"/>
    </xf>
    <xf numFmtId="166" fontId="10" fillId="3" borderId="1" xfId="4" applyNumberFormat="1" applyFont="1" applyFill="1" applyBorder="1" applyAlignment="1">
      <alignment horizontal="right" vertical="center" wrapText="1"/>
    </xf>
    <xf numFmtId="166" fontId="16" fillId="3" borderId="1" xfId="4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vertical="top" wrapText="1"/>
    </xf>
    <xf numFmtId="167" fontId="17" fillId="3" borderId="1" xfId="4" applyNumberFormat="1" applyFont="1" applyFill="1" applyBorder="1" applyAlignment="1">
      <alignment horizontal="right" vertical="center" wrapText="1"/>
    </xf>
    <xf numFmtId="49" fontId="22" fillId="3" borderId="1" xfId="0" applyNumberFormat="1" applyFont="1" applyFill="1" applyBorder="1" applyAlignment="1">
      <alignment vertical="top" wrapText="1"/>
    </xf>
    <xf numFmtId="49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68" fontId="19" fillId="3" borderId="1" xfId="4" applyNumberFormat="1" applyFont="1" applyFill="1" applyBorder="1" applyAlignment="1">
      <alignment horizontal="right" vertical="center" wrapText="1"/>
    </xf>
    <xf numFmtId="0" fontId="15" fillId="3" borderId="1" xfId="0" applyNumberFormat="1" applyFont="1" applyFill="1" applyBorder="1" applyAlignment="1">
      <alignment vertical="top" wrapText="1"/>
    </xf>
    <xf numFmtId="168" fontId="15" fillId="3" borderId="1" xfId="4" applyNumberFormat="1" applyFont="1" applyFill="1" applyBorder="1" applyAlignment="1">
      <alignment horizontal="right" vertical="center" wrapText="1"/>
    </xf>
    <xf numFmtId="168" fontId="10" fillId="3" borderId="1" xfId="4" applyNumberFormat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9" fillId="3" borderId="1" xfId="0" applyNumberFormat="1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center" wrapText="1"/>
    </xf>
    <xf numFmtId="166" fontId="19" fillId="3" borderId="1" xfId="4" applyNumberFormat="1" applyFont="1" applyFill="1" applyBorder="1" applyAlignment="1">
      <alignment horizontal="right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7" fontId="6" fillId="3" borderId="1" xfId="4" applyNumberFormat="1" applyFont="1" applyFill="1" applyBorder="1" applyAlignment="1">
      <alignment horizontal="right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167" fontId="10" fillId="3" borderId="1" xfId="4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top" wrapText="1"/>
    </xf>
    <xf numFmtId="0" fontId="17" fillId="3" borderId="1" xfId="0" applyNumberFormat="1" applyFont="1" applyFill="1" applyBorder="1" applyAlignment="1">
      <alignment vertical="top" wrapText="1"/>
    </xf>
    <xf numFmtId="166" fontId="21" fillId="3" borderId="1" xfId="0" applyNumberFormat="1" applyFont="1" applyFill="1" applyBorder="1" applyAlignment="1">
      <alignment vertical="top" wrapText="1"/>
    </xf>
    <xf numFmtId="166" fontId="15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/>
    <xf numFmtId="0" fontId="0" fillId="3" borderId="0" xfId="0" applyFill="1"/>
    <xf numFmtId="49" fontId="15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2" fillId="3" borderId="0" xfId="0" applyFont="1" applyFill="1"/>
    <xf numFmtId="0" fontId="4" fillId="3" borderId="1" xfId="0" applyFont="1" applyFill="1" applyBorder="1" applyAlignment="1">
      <alignment vertical="top" wrapText="1"/>
    </xf>
    <xf numFmtId="166" fontId="17" fillId="3" borderId="1" xfId="4" applyNumberFormat="1" applyFont="1" applyFill="1" applyBorder="1" applyAlignment="1">
      <alignment horizontal="right" vertical="center" wrapText="1"/>
    </xf>
    <xf numFmtId="49" fontId="15" fillId="3" borderId="1" xfId="0" applyNumberFormat="1" applyFont="1" applyFill="1" applyBorder="1" applyAlignment="1">
      <alignment wrapText="1"/>
    </xf>
    <xf numFmtId="49" fontId="10" fillId="3" borderId="1" xfId="0" applyNumberFormat="1" applyFont="1" applyFill="1" applyBorder="1" applyAlignment="1">
      <alignment wrapText="1"/>
    </xf>
    <xf numFmtId="167" fontId="15" fillId="3" borderId="1" xfId="4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21" fillId="3" borderId="1" xfId="0" applyNumberFormat="1" applyFont="1" applyFill="1" applyBorder="1" applyAlignment="1">
      <alignment vertical="top" wrapText="1"/>
    </xf>
    <xf numFmtId="0" fontId="15" fillId="0" borderId="5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top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top" wrapText="1"/>
    </xf>
    <xf numFmtId="167" fontId="19" fillId="6" borderId="1" xfId="4" applyNumberFormat="1" applyFont="1" applyFill="1" applyBorder="1" applyAlignment="1">
      <alignment horizontal="right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vertical="top" wrapText="1"/>
    </xf>
    <xf numFmtId="0" fontId="19" fillId="6" borderId="1" xfId="0" applyNumberFormat="1" applyFont="1" applyFill="1" applyBorder="1" applyAlignment="1">
      <alignment vertical="top" wrapText="1"/>
    </xf>
    <xf numFmtId="166" fontId="19" fillId="6" borderId="1" xfId="4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166" fontId="16" fillId="6" borderId="1" xfId="4" applyNumberFormat="1" applyFont="1" applyFill="1" applyBorder="1" applyAlignment="1">
      <alignment horizontal="right" vertical="center" wrapText="1"/>
    </xf>
    <xf numFmtId="167" fontId="16" fillId="6" borderId="1" xfId="4" applyNumberFormat="1" applyFont="1" applyFill="1" applyBorder="1" applyAlignment="1">
      <alignment horizontal="right" vertical="center" wrapText="1"/>
    </xf>
    <xf numFmtId="167" fontId="10" fillId="0" borderId="1" xfId="4" applyNumberFormat="1" applyFont="1" applyFill="1" applyBorder="1" applyAlignment="1">
      <alignment horizontal="right" vertical="center" wrapText="1"/>
    </xf>
    <xf numFmtId="167" fontId="15" fillId="5" borderId="1" xfId="4" applyNumberFormat="1" applyFont="1" applyFill="1" applyBorder="1" applyAlignment="1">
      <alignment horizontal="right" vertical="center" wrapText="1"/>
    </xf>
    <xf numFmtId="167" fontId="15" fillId="0" borderId="1" xfId="4" applyNumberFormat="1" applyFont="1" applyFill="1" applyBorder="1" applyAlignment="1">
      <alignment horizontal="right" vertical="center" wrapText="1"/>
    </xf>
    <xf numFmtId="167" fontId="6" fillId="7" borderId="1" xfId="4" applyNumberFormat="1" applyFont="1" applyFill="1" applyBorder="1" applyAlignment="1">
      <alignment horizontal="righ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vertical="top" wrapText="1"/>
    </xf>
    <xf numFmtId="167" fontId="15" fillId="6" borderId="1" xfId="4" applyNumberFormat="1" applyFont="1" applyFill="1" applyBorder="1" applyAlignment="1">
      <alignment horizontal="right" vertical="center" wrapText="1"/>
    </xf>
    <xf numFmtId="0" fontId="24" fillId="6" borderId="1" xfId="0" applyNumberFormat="1" applyFont="1" applyFill="1" applyBorder="1" applyAlignment="1">
      <alignment vertical="top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49" fontId="16" fillId="6" borderId="1" xfId="0" applyNumberFormat="1" applyFont="1" applyFill="1" applyBorder="1" applyAlignment="1">
      <alignment horizontal="center" vertical="center" wrapText="1"/>
    </xf>
    <xf numFmtId="167" fontId="6" fillId="4" borderId="1" xfId="4" applyNumberFormat="1" applyFont="1" applyFill="1" applyBorder="1" applyAlignment="1">
      <alignment horizontal="righ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0" fontId="19" fillId="6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vertical="top" wrapText="1"/>
    </xf>
    <xf numFmtId="167" fontId="16" fillId="0" borderId="1" xfId="4" applyNumberFormat="1" applyFont="1" applyFill="1" applyBorder="1" applyAlignment="1">
      <alignment horizontal="right" vertical="center" wrapText="1"/>
    </xf>
    <xf numFmtId="166" fontId="10" fillId="0" borderId="1" xfId="4" applyNumberFormat="1" applyFont="1" applyFill="1" applyBorder="1" applyAlignment="1">
      <alignment horizontal="right" vertical="center" wrapText="1"/>
    </xf>
    <xf numFmtId="167" fontId="10" fillId="0" borderId="1" xfId="4" applyNumberFormat="1" applyFont="1" applyFill="1" applyBorder="1" applyAlignment="1">
      <alignment horizontal="right" vertical="top" wrapText="1"/>
    </xf>
    <xf numFmtId="167" fontId="17" fillId="0" borderId="1" xfId="4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vertical="top" wrapText="1"/>
    </xf>
    <xf numFmtId="168" fontId="19" fillId="6" borderId="1" xfId="4" applyNumberFormat="1" applyFont="1" applyFill="1" applyBorder="1" applyAlignment="1">
      <alignment horizontal="right" vertical="center" wrapText="1"/>
    </xf>
    <xf numFmtId="0" fontId="19" fillId="6" borderId="1" xfId="0" applyFont="1" applyFill="1" applyBorder="1" applyAlignment="1">
      <alignment vertical="top" wrapText="1"/>
    </xf>
    <xf numFmtId="49" fontId="19" fillId="6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 wrapText="1"/>
    </xf>
    <xf numFmtId="169" fontId="8" fillId="0" borderId="1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1" xfId="0" applyFont="1" applyFill="1" applyBorder="1" applyAlignment="1">
      <alignment wrapText="1"/>
    </xf>
    <xf numFmtId="168" fontId="8" fillId="2" borderId="1" xfId="0" applyNumberFormat="1" applyFont="1" applyFill="1" applyBorder="1" applyAlignment="1">
      <alignment horizontal="right" vertical="center" wrapText="1"/>
    </xf>
    <xf numFmtId="0" fontId="10" fillId="3" borderId="1" xfId="0" applyNumberFormat="1" applyFont="1" applyFill="1" applyBorder="1" applyAlignment="1">
      <alignment vertical="top" wrapText="1"/>
    </xf>
    <xf numFmtId="0" fontId="20" fillId="3" borderId="0" xfId="0" applyFont="1" applyFill="1" applyAlignment="1">
      <alignment horizontal="center" vertical="center"/>
    </xf>
    <xf numFmtId="0" fontId="28" fillId="3" borderId="1" xfId="0" applyFont="1" applyFill="1" applyBorder="1" applyAlignment="1">
      <alignment wrapText="1"/>
    </xf>
    <xf numFmtId="166" fontId="15" fillId="0" borderId="1" xfId="4" applyNumberFormat="1" applyFont="1" applyFill="1" applyBorder="1" applyAlignment="1">
      <alignment horizontal="right" vertical="center" wrapText="1"/>
    </xf>
    <xf numFmtId="49" fontId="29" fillId="3" borderId="1" xfId="0" applyNumberFormat="1" applyFont="1" applyFill="1" applyBorder="1" applyAlignment="1">
      <alignment vertical="top" wrapText="1"/>
    </xf>
    <xf numFmtId="49" fontId="29" fillId="3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167" fontId="29" fillId="3" borderId="1" xfId="4" applyNumberFormat="1" applyFont="1" applyFill="1" applyBorder="1" applyAlignment="1">
      <alignment horizontal="right" vertical="center" wrapText="1"/>
    </xf>
    <xf numFmtId="49" fontId="30" fillId="3" borderId="1" xfId="0" applyNumberFormat="1" applyFont="1" applyFill="1" applyBorder="1" applyAlignment="1">
      <alignment vertical="top" wrapText="1"/>
    </xf>
    <xf numFmtId="167" fontId="30" fillId="3" borderId="1" xfId="4" applyNumberFormat="1" applyFont="1" applyFill="1" applyBorder="1" applyAlignment="1">
      <alignment horizontal="right" vertical="center" wrapText="1"/>
    </xf>
    <xf numFmtId="49" fontId="31" fillId="3" borderId="1" xfId="0" applyNumberFormat="1" applyFont="1" applyFill="1" applyBorder="1" applyAlignment="1">
      <alignment vertical="top" wrapText="1"/>
    </xf>
    <xf numFmtId="49" fontId="31" fillId="3" borderId="1" xfId="0" applyNumberFormat="1" applyFont="1" applyFill="1" applyBorder="1" applyAlignment="1">
      <alignment horizontal="center" vertical="center" wrapText="1"/>
    </xf>
    <xf numFmtId="167" fontId="31" fillId="3" borderId="1" xfId="4" applyNumberFormat="1" applyFont="1" applyFill="1" applyBorder="1" applyAlignment="1">
      <alignment horizontal="right" vertical="center" wrapText="1"/>
    </xf>
    <xf numFmtId="49" fontId="22" fillId="6" borderId="1" xfId="0" applyNumberFormat="1" applyFont="1" applyFill="1" applyBorder="1" applyAlignment="1">
      <alignment vertical="top" wrapText="1"/>
    </xf>
    <xf numFmtId="0" fontId="25" fillId="3" borderId="0" xfId="0" applyFont="1" applyFill="1" applyAlignment="1">
      <alignment horizontal="center" vertical="center"/>
    </xf>
    <xf numFmtId="0" fontId="1" fillId="0" borderId="0" xfId="0" applyFont="1" applyFill="1"/>
    <xf numFmtId="0" fontId="13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7" fontId="11" fillId="0" borderId="1" xfId="4" applyNumberFormat="1" applyFont="1" applyFill="1" applyBorder="1" applyAlignment="1">
      <alignment horizontal="right" vertical="center" wrapText="1"/>
    </xf>
    <xf numFmtId="167" fontId="6" fillId="0" borderId="1" xfId="4" applyNumberFormat="1" applyFont="1" applyFill="1" applyBorder="1" applyAlignment="1">
      <alignment horizontal="righ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7" fontId="19" fillId="0" borderId="1" xfId="4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166" fontId="16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/>
    </xf>
    <xf numFmtId="49" fontId="16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6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167" fontId="15" fillId="0" borderId="1" xfId="4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vertical="top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167" fontId="29" fillId="0" borderId="1" xfId="4" applyNumberFormat="1" applyFont="1" applyFill="1" applyBorder="1" applyAlignment="1">
      <alignment horizontal="right" vertical="center" wrapText="1"/>
    </xf>
    <xf numFmtId="49" fontId="30" fillId="0" borderId="1" xfId="0" applyNumberFormat="1" applyFont="1" applyFill="1" applyBorder="1" applyAlignment="1">
      <alignment vertical="top" wrapText="1"/>
    </xf>
    <xf numFmtId="167" fontId="30" fillId="0" borderId="1" xfId="4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vertical="top" wrapText="1"/>
    </xf>
    <xf numFmtId="166" fontId="21" fillId="0" borderId="1" xfId="0" applyNumberFormat="1" applyFont="1" applyFill="1" applyBorder="1" applyAlignment="1">
      <alignment vertical="top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23" fillId="0" borderId="0" xfId="0" applyNumberFormat="1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10" fillId="3" borderId="6" xfId="4" applyNumberFormat="1" applyFont="1" applyFill="1" applyBorder="1" applyAlignment="1">
      <alignment horizontal="right" vertical="center" wrapText="1"/>
    </xf>
    <xf numFmtId="165" fontId="15" fillId="3" borderId="6" xfId="4" applyNumberFormat="1" applyFont="1" applyFill="1" applyBorder="1" applyAlignment="1">
      <alignment horizontal="right" vertical="center" wrapText="1"/>
    </xf>
    <xf numFmtId="166" fontId="10" fillId="3" borderId="6" xfId="4" applyNumberFormat="1" applyFont="1" applyFill="1" applyBorder="1" applyAlignment="1">
      <alignment horizontal="right" vertical="center" wrapText="1"/>
    </xf>
    <xf numFmtId="166" fontId="15" fillId="3" borderId="6" xfId="4" applyNumberFormat="1" applyFont="1" applyFill="1" applyBorder="1" applyAlignment="1">
      <alignment horizontal="right" vertical="center" wrapText="1"/>
    </xf>
    <xf numFmtId="166" fontId="16" fillId="6" borderId="6" xfId="4" applyNumberFormat="1" applyFont="1" applyFill="1" applyBorder="1" applyAlignment="1">
      <alignment horizontal="right" vertical="center" wrapText="1"/>
    </xf>
    <xf numFmtId="0" fontId="32" fillId="3" borderId="0" xfId="0" applyFont="1" applyFill="1" applyAlignment="1">
      <alignment horizontal="center" vertical="center"/>
    </xf>
    <xf numFmtId="166" fontId="19" fillId="6" borderId="6" xfId="4" applyNumberFormat="1" applyFont="1" applyFill="1" applyBorder="1" applyAlignment="1">
      <alignment horizontal="right" vertical="center" wrapText="1"/>
    </xf>
    <xf numFmtId="166" fontId="6" fillId="3" borderId="1" xfId="4" applyNumberFormat="1" applyFont="1" applyFill="1" applyBorder="1" applyAlignment="1">
      <alignment horizontal="right" vertical="center" wrapText="1"/>
    </xf>
    <xf numFmtId="166" fontId="6" fillId="3" borderId="6" xfId="4" applyNumberFormat="1" applyFont="1" applyFill="1" applyBorder="1" applyAlignment="1">
      <alignment horizontal="right" vertical="center" wrapText="1"/>
    </xf>
    <xf numFmtId="170" fontId="10" fillId="3" borderId="1" xfId="4" applyNumberFormat="1" applyFont="1" applyFill="1" applyBorder="1" applyAlignment="1">
      <alignment horizontal="right" vertical="center" wrapText="1"/>
    </xf>
    <xf numFmtId="167" fontId="10" fillId="3" borderId="6" xfId="4" applyNumberFormat="1" applyFont="1" applyFill="1" applyBorder="1" applyAlignment="1">
      <alignment horizontal="right" vertical="center" wrapText="1"/>
    </xf>
    <xf numFmtId="167" fontId="16" fillId="3" borderId="6" xfId="4" applyNumberFormat="1" applyFont="1" applyFill="1" applyBorder="1" applyAlignment="1">
      <alignment horizontal="right" vertical="center" wrapText="1"/>
    </xf>
    <xf numFmtId="167" fontId="15" fillId="3" borderId="6" xfId="4" applyNumberFormat="1" applyFont="1" applyFill="1" applyBorder="1" applyAlignment="1">
      <alignment horizontal="right" vertical="center" wrapText="1"/>
    </xf>
    <xf numFmtId="167" fontId="19" fillId="6" borderId="6" xfId="4" applyNumberFormat="1" applyFont="1" applyFill="1" applyBorder="1" applyAlignment="1">
      <alignment horizontal="right" vertical="center" wrapText="1"/>
    </xf>
    <xf numFmtId="167" fontId="17" fillId="3" borderId="6" xfId="4" applyNumberFormat="1" applyFont="1" applyFill="1" applyBorder="1" applyAlignment="1">
      <alignment horizontal="right" vertical="center" wrapText="1"/>
    </xf>
    <xf numFmtId="167" fontId="16" fillId="6" borderId="6" xfId="4" applyNumberFormat="1" applyFont="1" applyFill="1" applyBorder="1" applyAlignment="1">
      <alignment horizontal="right" vertical="center" wrapText="1"/>
    </xf>
    <xf numFmtId="167" fontId="10" fillId="0" borderId="6" xfId="4" applyNumberFormat="1" applyFont="1" applyFill="1" applyBorder="1" applyAlignment="1">
      <alignment horizontal="right" vertical="center" wrapText="1"/>
    </xf>
    <xf numFmtId="167" fontId="15" fillId="5" borderId="6" xfId="4" applyNumberFormat="1" applyFont="1" applyFill="1" applyBorder="1" applyAlignment="1">
      <alignment horizontal="right" vertical="center" wrapText="1"/>
    </xf>
    <xf numFmtId="166" fontId="10" fillId="0" borderId="6" xfId="4" applyNumberFormat="1" applyFont="1" applyFill="1" applyBorder="1" applyAlignment="1">
      <alignment horizontal="right" vertical="center" wrapText="1"/>
    </xf>
    <xf numFmtId="166" fontId="15" fillId="0" borderId="6" xfId="4" applyNumberFormat="1" applyFont="1" applyFill="1" applyBorder="1" applyAlignment="1">
      <alignment horizontal="right" vertical="center" wrapText="1"/>
    </xf>
    <xf numFmtId="167" fontId="6" fillId="7" borderId="6" xfId="4" applyNumberFormat="1" applyFont="1" applyFill="1" applyBorder="1" applyAlignment="1">
      <alignment horizontal="right" vertical="center" wrapText="1"/>
    </xf>
    <xf numFmtId="167" fontId="15" fillId="6" borderId="6" xfId="4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/>
    </xf>
    <xf numFmtId="167" fontId="6" fillId="4" borderId="6" xfId="4" applyNumberFormat="1" applyFont="1" applyFill="1" applyBorder="1" applyAlignment="1">
      <alignment horizontal="right" vertical="center" wrapText="1"/>
    </xf>
    <xf numFmtId="166" fontId="17" fillId="3" borderId="6" xfId="4" applyNumberFormat="1" applyFont="1" applyFill="1" applyBorder="1" applyAlignment="1">
      <alignment horizontal="right" vertical="center" wrapText="1"/>
    </xf>
    <xf numFmtId="171" fontId="10" fillId="3" borderId="6" xfId="4" applyNumberFormat="1" applyFont="1" applyFill="1" applyBorder="1" applyAlignment="1">
      <alignment horizontal="right" vertical="center" wrapText="1"/>
    </xf>
    <xf numFmtId="171" fontId="15" fillId="3" borderId="6" xfId="4" applyNumberFormat="1" applyFont="1" applyFill="1" applyBorder="1" applyAlignment="1">
      <alignment horizontal="right" vertical="center" wrapText="1"/>
    </xf>
    <xf numFmtId="43" fontId="10" fillId="3" borderId="6" xfId="4" applyNumberFormat="1" applyFont="1" applyFill="1" applyBorder="1" applyAlignment="1">
      <alignment horizontal="right" vertical="center" wrapText="1"/>
    </xf>
    <xf numFmtId="43" fontId="15" fillId="3" borderId="6" xfId="4" applyNumberFormat="1" applyFont="1" applyFill="1" applyBorder="1" applyAlignment="1">
      <alignment horizontal="right" vertical="center" wrapText="1"/>
    </xf>
    <xf numFmtId="166" fontId="16" fillId="3" borderId="6" xfId="4" applyNumberFormat="1" applyFont="1" applyFill="1" applyBorder="1" applyAlignment="1">
      <alignment horizontal="right" vertical="center" wrapText="1"/>
    </xf>
    <xf numFmtId="171" fontId="16" fillId="3" borderId="6" xfId="4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6" fontId="19" fillId="3" borderId="6" xfId="4" applyNumberFormat="1" applyFont="1" applyFill="1" applyBorder="1" applyAlignment="1">
      <alignment horizontal="right" vertical="center" wrapText="1"/>
    </xf>
    <xf numFmtId="167" fontId="19" fillId="3" borderId="6" xfId="4" applyNumberFormat="1" applyFont="1" applyFill="1" applyBorder="1" applyAlignment="1">
      <alignment horizontal="right" vertical="center" wrapText="1"/>
    </xf>
    <xf numFmtId="167" fontId="16" fillId="0" borderId="6" xfId="4" applyNumberFormat="1" applyFont="1" applyFill="1" applyBorder="1" applyAlignment="1">
      <alignment horizontal="right" vertical="center" wrapText="1"/>
    </xf>
    <xf numFmtId="167" fontId="15" fillId="0" borderId="6" xfId="4" applyNumberFormat="1" applyFont="1" applyFill="1" applyBorder="1" applyAlignment="1">
      <alignment horizontal="right" vertical="center" wrapText="1"/>
    </xf>
    <xf numFmtId="166" fontId="10" fillId="0" borderId="6" xfId="4" applyNumberFormat="1" applyFont="1" applyFill="1" applyBorder="1" applyAlignment="1">
      <alignment horizontal="right" vertical="top" wrapText="1"/>
    </xf>
    <xf numFmtId="166" fontId="10" fillId="0" borderId="1" xfId="4" applyNumberFormat="1" applyFont="1" applyFill="1" applyBorder="1" applyAlignment="1">
      <alignment horizontal="right" vertical="top" wrapText="1"/>
    </xf>
    <xf numFmtId="166" fontId="30" fillId="3" borderId="6" xfId="4" applyNumberFormat="1" applyFont="1" applyFill="1" applyBorder="1" applyAlignment="1">
      <alignment horizontal="right" vertical="center" wrapText="1"/>
    </xf>
    <xf numFmtId="166" fontId="31" fillId="3" borderId="6" xfId="4" applyNumberFormat="1" applyFont="1" applyFill="1" applyBorder="1" applyAlignment="1">
      <alignment horizontal="right" vertical="center" wrapText="1"/>
    </xf>
    <xf numFmtId="166" fontId="29" fillId="3" borderId="6" xfId="4" applyNumberFormat="1" applyFont="1" applyFill="1" applyBorder="1" applyAlignment="1">
      <alignment horizontal="right" vertical="center" wrapText="1"/>
    </xf>
    <xf numFmtId="168" fontId="10" fillId="3" borderId="6" xfId="4" applyNumberFormat="1" applyFont="1" applyFill="1" applyBorder="1" applyAlignment="1">
      <alignment horizontal="right" vertical="center" wrapText="1"/>
    </xf>
    <xf numFmtId="168" fontId="15" fillId="3" borderId="6" xfId="4" applyNumberFormat="1" applyFont="1" applyFill="1" applyBorder="1" applyAlignment="1">
      <alignment horizontal="right" vertical="center" wrapText="1"/>
    </xf>
    <xf numFmtId="168" fontId="19" fillId="6" borderId="6" xfId="4" applyNumberFormat="1" applyFont="1" applyFill="1" applyBorder="1" applyAlignment="1">
      <alignment horizontal="right" vertical="center" wrapText="1"/>
    </xf>
    <xf numFmtId="170" fontId="15" fillId="3" borderId="1" xfId="4" applyNumberFormat="1" applyFont="1" applyFill="1" applyBorder="1" applyAlignment="1">
      <alignment horizontal="right" vertical="center" wrapText="1"/>
    </xf>
    <xf numFmtId="170" fontId="10" fillId="3" borderId="6" xfId="4" applyNumberFormat="1" applyFont="1" applyFill="1" applyBorder="1" applyAlignment="1">
      <alignment horizontal="right" vertical="center" wrapText="1"/>
    </xf>
    <xf numFmtId="170" fontId="15" fillId="3" borderId="6" xfId="4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horizontal="right" vertical="center" wrapText="1"/>
    </xf>
    <xf numFmtId="169" fontId="9" fillId="0" borderId="1" xfId="4" applyNumberFormat="1" applyFont="1" applyBorder="1" applyAlignment="1">
      <alignment horizontal="right" vertical="center" wrapText="1"/>
    </xf>
    <xf numFmtId="169" fontId="5" fillId="0" borderId="1" xfId="4" applyNumberFormat="1" applyFont="1" applyBorder="1" applyAlignment="1">
      <alignment horizontal="right" vertical="center" wrapText="1"/>
    </xf>
    <xf numFmtId="0" fontId="1" fillId="0" borderId="0" xfId="0" applyFont="1"/>
    <xf numFmtId="170" fontId="10" fillId="0" borderId="1" xfId="4" applyNumberFormat="1" applyFont="1" applyFill="1" applyBorder="1" applyAlignment="1">
      <alignment horizontal="right" vertical="center" wrapText="1"/>
    </xf>
    <xf numFmtId="170" fontId="15" fillId="0" borderId="1" xfId="4" applyNumberFormat="1" applyFont="1" applyFill="1" applyBorder="1" applyAlignment="1">
      <alignment horizontal="right" vertical="center" wrapText="1"/>
    </xf>
    <xf numFmtId="170" fontId="16" fillId="0" borderId="1" xfId="4" applyNumberFormat="1" applyFont="1" applyFill="1" applyBorder="1" applyAlignment="1">
      <alignment horizontal="right" vertical="center" wrapText="1"/>
    </xf>
    <xf numFmtId="167" fontId="0" fillId="0" borderId="0" xfId="0" applyNumberFormat="1"/>
    <xf numFmtId="170" fontId="19" fillId="0" borderId="1" xfId="4" applyNumberFormat="1" applyFont="1" applyFill="1" applyBorder="1" applyAlignment="1">
      <alignment horizontal="right" vertical="center" wrapText="1"/>
    </xf>
    <xf numFmtId="170" fontId="29" fillId="0" borderId="1" xfId="4" applyNumberFormat="1" applyFont="1" applyFill="1" applyBorder="1" applyAlignment="1">
      <alignment horizontal="right" vertical="center" wrapText="1"/>
    </xf>
    <xf numFmtId="170" fontId="30" fillId="0" borderId="1" xfId="4" applyNumberFormat="1" applyFont="1" applyFill="1" applyBorder="1" applyAlignment="1">
      <alignment horizontal="right" vertical="center" wrapText="1"/>
    </xf>
    <xf numFmtId="170" fontId="10" fillId="0" borderId="1" xfId="4" applyNumberFormat="1" applyFont="1" applyFill="1" applyBorder="1" applyAlignment="1">
      <alignment horizontal="right" vertical="top" wrapText="1"/>
    </xf>
    <xf numFmtId="170" fontId="16" fillId="3" borderId="1" xfId="4" applyNumberFormat="1" applyFont="1" applyFill="1" applyBorder="1" applyAlignment="1">
      <alignment horizontal="right" vertical="center" wrapText="1"/>
    </xf>
    <xf numFmtId="170" fontId="19" fillId="3" borderId="1" xfId="4" applyNumberFormat="1" applyFont="1" applyFill="1" applyBorder="1" applyAlignment="1">
      <alignment horizontal="right" vertical="center" wrapText="1"/>
    </xf>
    <xf numFmtId="170" fontId="29" fillId="3" borderId="1" xfId="4" applyNumberFormat="1" applyFont="1" applyFill="1" applyBorder="1" applyAlignment="1">
      <alignment horizontal="right" vertical="center" wrapText="1"/>
    </xf>
    <xf numFmtId="170" fontId="30" fillId="3" borderId="1" xfId="4" applyNumberFormat="1" applyFont="1" applyFill="1" applyBorder="1" applyAlignment="1">
      <alignment horizontal="right" vertical="center" wrapText="1"/>
    </xf>
    <xf numFmtId="170" fontId="10" fillId="3" borderId="1" xfId="4" applyNumberFormat="1" applyFont="1" applyFill="1" applyBorder="1" applyAlignment="1">
      <alignment horizontal="right" vertical="top" wrapText="1"/>
    </xf>
    <xf numFmtId="169" fontId="8" fillId="2" borderId="1" xfId="4" applyNumberFormat="1" applyFont="1" applyFill="1" applyBorder="1" applyAlignment="1">
      <alignment horizontal="right" vertical="center" wrapText="1"/>
    </xf>
    <xf numFmtId="168" fontId="4" fillId="3" borderId="1" xfId="0" applyNumberFormat="1" applyFont="1" applyFill="1" applyBorder="1" applyAlignment="1">
      <alignment horizontal="right" vertical="center" wrapText="1"/>
    </xf>
    <xf numFmtId="167" fontId="4" fillId="0" borderId="1" xfId="4" applyNumberFormat="1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vertical="top" wrapText="1"/>
    </xf>
    <xf numFmtId="166" fontId="4" fillId="3" borderId="1" xfId="4" applyNumberFormat="1" applyFont="1" applyFill="1" applyBorder="1" applyAlignment="1">
      <alignment horizontal="right" vertical="center" wrapText="1"/>
    </xf>
    <xf numFmtId="168" fontId="4" fillId="3" borderId="1" xfId="0" applyNumberFormat="1" applyFont="1" applyFill="1" applyBorder="1" applyAlignment="1">
      <alignment horizontal="center" vertical="center" wrapText="1"/>
    </xf>
    <xf numFmtId="167" fontId="4" fillId="3" borderId="1" xfId="4" applyNumberFormat="1" applyFont="1" applyFill="1" applyBorder="1" applyAlignment="1">
      <alignment horizontal="right" vertical="center" wrapText="1"/>
    </xf>
    <xf numFmtId="168" fontId="6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168" fontId="19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166" fontId="6" fillId="0" borderId="1" xfId="4" applyNumberFormat="1" applyFont="1" applyFill="1" applyBorder="1" applyAlignment="1">
      <alignment horizontal="right" vertical="center" wrapText="1"/>
    </xf>
    <xf numFmtId="166" fontId="8" fillId="2" borderId="1" xfId="4" applyNumberFormat="1" applyFont="1" applyFill="1" applyBorder="1" applyAlignment="1">
      <alignment horizontal="right" vertical="center" wrapText="1"/>
    </xf>
    <xf numFmtId="166" fontId="4" fillId="0" borderId="1" xfId="4" applyNumberFormat="1" applyFont="1" applyFill="1" applyBorder="1" applyAlignment="1">
      <alignment horizontal="right" vertical="center" wrapText="1"/>
    </xf>
    <xf numFmtId="170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 wrapText="1"/>
    </xf>
    <xf numFmtId="0" fontId="9" fillId="0" borderId="0" xfId="0" applyFont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8" fontId="15" fillId="0" borderId="4" xfId="0" applyNumberFormat="1" applyFont="1" applyBorder="1" applyAlignment="1">
      <alignment horizontal="center" vertical="center" wrapText="1"/>
    </xf>
    <xf numFmtId="168" fontId="15" fillId="0" borderId="5" xfId="0" applyNumberFormat="1" applyFont="1" applyBorder="1" applyAlignment="1">
      <alignment horizontal="center" vertical="center" wrapText="1"/>
    </xf>
    <xf numFmtId="168" fontId="4" fillId="0" borderId="2" xfId="4" applyNumberFormat="1" applyFont="1" applyFill="1" applyBorder="1" applyAlignment="1">
      <alignment horizontal="right"/>
    </xf>
    <xf numFmtId="0" fontId="9" fillId="0" borderId="0" xfId="0" applyFont="1" applyFill="1"/>
    <xf numFmtId="0" fontId="5" fillId="0" borderId="0" xfId="0" applyFont="1" applyAlignment="1">
      <alignment horizontal="center"/>
    </xf>
    <xf numFmtId="0" fontId="9" fillId="3" borderId="0" xfId="0" applyNumberFormat="1" applyFont="1" applyFill="1" applyBorder="1" applyAlignment="1">
      <alignment horizontal="left" vertical="top" wrapText="1"/>
    </xf>
    <xf numFmtId="0" fontId="23" fillId="0" borderId="0" xfId="0" applyNumberFormat="1" applyFont="1" applyFill="1" applyAlignment="1">
      <alignment horizontal="center" vertical="top" wrapText="1"/>
    </xf>
    <xf numFmtId="166" fontId="4" fillId="0" borderId="2" xfId="4" applyNumberFormat="1" applyFont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33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FF9966"/>
      <color rgb="FF9966FF"/>
      <color rgb="FFCC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75"/>
  <sheetViews>
    <sheetView view="pageBreakPreview" topLeftCell="A61" zoomScale="140" zoomScaleNormal="130" zoomScaleSheetLayoutView="140" workbookViewId="0">
      <selection activeCell="A39" sqref="A39"/>
    </sheetView>
  </sheetViews>
  <sheetFormatPr defaultRowHeight="12.75"/>
  <cols>
    <col min="1" max="1" width="25.42578125" customWidth="1"/>
    <col min="2" max="2" width="49.7109375" customWidth="1"/>
    <col min="3" max="3" width="14" customWidth="1"/>
    <col min="4" max="4" width="13.5703125" customWidth="1"/>
    <col min="5" max="5" width="13.42578125" customWidth="1"/>
    <col min="6" max="6" width="8.85546875" customWidth="1"/>
  </cols>
  <sheetData>
    <row r="1" spans="1:6" ht="24.75" customHeight="1">
      <c r="A1" s="351"/>
      <c r="B1" s="351"/>
      <c r="C1" s="351"/>
      <c r="D1" s="128"/>
      <c r="E1" s="350"/>
      <c r="F1" s="128"/>
    </row>
    <row r="2" spans="1:6" ht="15.75" customHeight="1">
      <c r="A2" s="352" t="s">
        <v>783</v>
      </c>
      <c r="B2" s="352"/>
      <c r="C2" s="352"/>
      <c r="D2" s="352"/>
      <c r="E2" s="352"/>
      <c r="F2" s="352"/>
    </row>
    <row r="3" spans="1:6" ht="15.75" customHeight="1">
      <c r="A3" s="352" t="s">
        <v>784</v>
      </c>
      <c r="B3" s="352"/>
      <c r="C3" s="352"/>
      <c r="D3" s="352"/>
      <c r="E3" s="352"/>
      <c r="F3" s="352"/>
    </row>
    <row r="4" spans="1:6" ht="9" customHeight="1">
      <c r="A4" s="353" t="s">
        <v>410</v>
      </c>
      <c r="B4" s="353"/>
      <c r="C4" s="353"/>
      <c r="D4" s="353"/>
      <c r="E4" s="353"/>
      <c r="F4" s="353"/>
    </row>
    <row r="5" spans="1:6" ht="40.5" customHeight="1">
      <c r="A5" s="28" t="s">
        <v>411</v>
      </c>
      <c r="B5" s="28" t="s">
        <v>818</v>
      </c>
      <c r="C5" s="28" t="s">
        <v>785</v>
      </c>
      <c r="D5" s="28" t="s">
        <v>786</v>
      </c>
      <c r="E5" s="28" t="s">
        <v>787</v>
      </c>
      <c r="F5" s="28" t="s">
        <v>777</v>
      </c>
    </row>
    <row r="6" spans="1:6" ht="14.25">
      <c r="A6" s="55" t="s">
        <v>412</v>
      </c>
      <c r="B6" s="57" t="s">
        <v>413</v>
      </c>
      <c r="C6" s="192">
        <f>C7+C9+C11+C16+C20+C22+C27+C29+C30+C33+C34</f>
        <v>2718726</v>
      </c>
      <c r="D6" s="192">
        <f>D7+D9+D11+D16+D20+D21+D22+D27+D29+D30+D33+D34</f>
        <v>2169594.5915009999</v>
      </c>
      <c r="E6" s="192">
        <f>E7+E9+E11+E16+E20+E22+E27+E29+E30+E33+E34</f>
        <v>2714182.1</v>
      </c>
      <c r="F6" s="192">
        <f t="shared" ref="F6:F20" si="0">E6/C6*100</f>
        <v>99.832866570592259</v>
      </c>
    </row>
    <row r="7" spans="1:6" s="23" customFormat="1">
      <c r="A7" s="29" t="s">
        <v>414</v>
      </c>
      <c r="B7" s="27" t="s">
        <v>415</v>
      </c>
      <c r="C7" s="347">
        <f>C8</f>
        <v>1207000</v>
      </c>
      <c r="D7" s="347">
        <f>D8</f>
        <v>900315.26549999998</v>
      </c>
      <c r="E7" s="347">
        <f>E8</f>
        <v>1178232</v>
      </c>
      <c r="F7" s="343">
        <f t="shared" si="0"/>
        <v>97.616570008285009</v>
      </c>
    </row>
    <row r="8" spans="1:6" s="23" customFormat="1">
      <c r="A8" s="31" t="s">
        <v>416</v>
      </c>
      <c r="B8" s="50" t="s">
        <v>417</v>
      </c>
      <c r="C8" s="349">
        <v>1207000</v>
      </c>
      <c r="D8" s="349">
        <v>900315.26549999998</v>
      </c>
      <c r="E8" s="349">
        <v>1178232</v>
      </c>
      <c r="F8" s="337">
        <f t="shared" si="0"/>
        <v>97.616570008285009</v>
      </c>
    </row>
    <row r="9" spans="1:6" s="23" customFormat="1" ht="25.5">
      <c r="A9" s="6" t="s">
        <v>127</v>
      </c>
      <c r="B9" s="27" t="s">
        <v>128</v>
      </c>
      <c r="C9" s="347">
        <f>C10</f>
        <v>19474</v>
      </c>
      <c r="D9" s="347">
        <f>D10</f>
        <v>16247.19678</v>
      </c>
      <c r="E9" s="347">
        <f>E10</f>
        <v>19474</v>
      </c>
      <c r="F9" s="343">
        <f t="shared" si="0"/>
        <v>100</v>
      </c>
    </row>
    <row r="10" spans="1:6" s="23" customFormat="1" ht="25.5">
      <c r="A10" s="31" t="s">
        <v>110</v>
      </c>
      <c r="B10" s="50" t="s">
        <v>432</v>
      </c>
      <c r="C10" s="349">
        <v>19474</v>
      </c>
      <c r="D10" s="349">
        <v>16247.19678</v>
      </c>
      <c r="E10" s="349">
        <v>19474</v>
      </c>
      <c r="F10" s="337">
        <f t="shared" si="0"/>
        <v>100</v>
      </c>
    </row>
    <row r="11" spans="1:6" s="23" customFormat="1">
      <c r="A11" s="6" t="s">
        <v>418</v>
      </c>
      <c r="B11" s="27" t="s">
        <v>419</v>
      </c>
      <c r="C11" s="347">
        <f>C12+C13+C14+C15</f>
        <v>800000</v>
      </c>
      <c r="D11" s="347">
        <f>D12+D13+D14+D15</f>
        <v>715617.41268000007</v>
      </c>
      <c r="E11" s="347">
        <f>E12+E13+E14+E15</f>
        <v>815197</v>
      </c>
      <c r="F11" s="343">
        <f t="shared" si="0"/>
        <v>101.899625</v>
      </c>
    </row>
    <row r="12" spans="1:6" s="23" customFormat="1" ht="25.5">
      <c r="A12" s="31" t="s">
        <v>420</v>
      </c>
      <c r="B12" s="50" t="s">
        <v>421</v>
      </c>
      <c r="C12" s="349">
        <v>750000</v>
      </c>
      <c r="D12" s="349">
        <v>672003.46203000005</v>
      </c>
      <c r="E12" s="349">
        <v>765543</v>
      </c>
      <c r="F12" s="337">
        <f t="shared" si="0"/>
        <v>102.0724</v>
      </c>
    </row>
    <row r="13" spans="1:6" s="23" customFormat="1" ht="25.5">
      <c r="A13" s="31" t="s">
        <v>422</v>
      </c>
      <c r="B13" s="50" t="s">
        <v>0</v>
      </c>
      <c r="C13" s="349">
        <v>21000</v>
      </c>
      <c r="D13" s="349">
        <v>21038.798849999999</v>
      </c>
      <c r="E13" s="349">
        <v>21604</v>
      </c>
      <c r="F13" s="337">
        <f t="shared" si="0"/>
        <v>102.87619047619047</v>
      </c>
    </row>
    <row r="14" spans="1:6" s="23" customFormat="1">
      <c r="A14" s="31" t="s">
        <v>1</v>
      </c>
      <c r="B14" s="50" t="s">
        <v>2</v>
      </c>
      <c r="C14" s="349">
        <v>9000</v>
      </c>
      <c r="D14" s="349">
        <v>5970.25497</v>
      </c>
      <c r="E14" s="349">
        <v>8050</v>
      </c>
      <c r="F14" s="337">
        <f t="shared" si="0"/>
        <v>89.444444444444443</v>
      </c>
    </row>
    <row r="15" spans="1:6" s="23" customFormat="1" ht="25.5">
      <c r="A15" s="10" t="s">
        <v>111</v>
      </c>
      <c r="B15" s="50" t="s">
        <v>156</v>
      </c>
      <c r="C15" s="349">
        <v>20000</v>
      </c>
      <c r="D15" s="349">
        <v>16604.896830000002</v>
      </c>
      <c r="E15" s="349">
        <v>20000</v>
      </c>
      <c r="F15" s="337">
        <f t="shared" si="0"/>
        <v>100</v>
      </c>
    </row>
    <row r="16" spans="1:6" s="23" customFormat="1">
      <c r="A16" s="6" t="s">
        <v>3</v>
      </c>
      <c r="B16" s="27" t="s">
        <v>4</v>
      </c>
      <c r="C16" s="347">
        <f>C17+C18+C19</f>
        <v>375000</v>
      </c>
      <c r="D16" s="347">
        <f>D17+D18+D19</f>
        <v>286085.36686000001</v>
      </c>
      <c r="E16" s="347">
        <f>E17+E18+E19</f>
        <v>380526</v>
      </c>
      <c r="F16" s="343">
        <f t="shared" si="0"/>
        <v>101.4736</v>
      </c>
    </row>
    <row r="17" spans="1:6" s="23" customFormat="1">
      <c r="A17" s="31" t="s">
        <v>5</v>
      </c>
      <c r="B17" s="50" t="s">
        <v>6</v>
      </c>
      <c r="C17" s="349">
        <v>70000</v>
      </c>
      <c r="D17" s="349">
        <v>40203.857320000003</v>
      </c>
      <c r="E17" s="349">
        <v>70000</v>
      </c>
      <c r="F17" s="337">
        <f t="shared" si="0"/>
        <v>100</v>
      </c>
    </row>
    <row r="18" spans="1:6" s="23" customFormat="1">
      <c r="A18" s="31" t="s">
        <v>129</v>
      </c>
      <c r="B18" s="50" t="s">
        <v>130</v>
      </c>
      <c r="C18" s="349">
        <v>100000</v>
      </c>
      <c r="D18" s="349">
        <v>91821.412710000004</v>
      </c>
      <c r="E18" s="349">
        <v>105526</v>
      </c>
      <c r="F18" s="337">
        <f t="shared" si="0"/>
        <v>105.52600000000001</v>
      </c>
    </row>
    <row r="19" spans="1:6" s="23" customFormat="1">
      <c r="A19" s="31" t="s">
        <v>7</v>
      </c>
      <c r="B19" s="50" t="s">
        <v>8</v>
      </c>
      <c r="C19" s="349">
        <v>205000</v>
      </c>
      <c r="D19" s="349">
        <v>154060.09682999999</v>
      </c>
      <c r="E19" s="349">
        <v>205000</v>
      </c>
      <c r="F19" s="337">
        <f t="shared" si="0"/>
        <v>100</v>
      </c>
    </row>
    <row r="20" spans="1:6" s="23" customFormat="1">
      <c r="A20" s="6" t="s">
        <v>9</v>
      </c>
      <c r="B20" s="27" t="s">
        <v>10</v>
      </c>
      <c r="C20" s="347">
        <v>71000</v>
      </c>
      <c r="D20" s="347">
        <v>45848.554080000002</v>
      </c>
      <c r="E20" s="347">
        <v>71000</v>
      </c>
      <c r="F20" s="343">
        <f t="shared" si="0"/>
        <v>100</v>
      </c>
    </row>
    <row r="21" spans="1:6" s="23" customFormat="1" ht="24.75" customHeight="1">
      <c r="A21" s="6" t="s">
        <v>817</v>
      </c>
      <c r="B21" s="27" t="s">
        <v>816</v>
      </c>
      <c r="C21" s="347"/>
      <c r="D21" s="347">
        <v>-1.6154500000000001</v>
      </c>
      <c r="E21" s="347"/>
      <c r="F21" s="343"/>
    </row>
    <row r="22" spans="1:6" s="23" customFormat="1" ht="25.5">
      <c r="A22" s="6" t="s">
        <v>11</v>
      </c>
      <c r="B22" s="27" t="s">
        <v>12</v>
      </c>
      <c r="C22" s="347">
        <f>C23+C24+C25+C26</f>
        <v>97132</v>
      </c>
      <c r="D22" s="347">
        <f>D23+D24+D25+D26</f>
        <v>80213.870830000014</v>
      </c>
      <c r="E22" s="347">
        <f>E23+E24+E25+E26</f>
        <v>98633.1</v>
      </c>
      <c r="F22" s="343">
        <f t="shared" ref="F22:F38" si="1">E22/C22*100</f>
        <v>101.54542272371619</v>
      </c>
    </row>
    <row r="23" spans="1:6" s="23" customFormat="1" ht="76.5">
      <c r="A23" s="31" t="s">
        <v>112</v>
      </c>
      <c r="B23" s="50" t="s">
        <v>815</v>
      </c>
      <c r="C23" s="349">
        <v>80000</v>
      </c>
      <c r="D23" s="349">
        <v>62958.632740000001</v>
      </c>
      <c r="E23" s="349">
        <v>80000</v>
      </c>
      <c r="F23" s="337">
        <f t="shared" si="1"/>
        <v>100</v>
      </c>
    </row>
    <row r="24" spans="1:6" s="23" customFormat="1" ht="63.75">
      <c r="A24" s="31" t="s">
        <v>91</v>
      </c>
      <c r="B24" s="50" t="s">
        <v>108</v>
      </c>
      <c r="C24" s="349">
        <v>6000</v>
      </c>
      <c r="D24" s="349">
        <v>7408.6918599999999</v>
      </c>
      <c r="E24" s="349">
        <v>7500</v>
      </c>
      <c r="F24" s="337">
        <f t="shared" si="1"/>
        <v>125</v>
      </c>
    </row>
    <row r="25" spans="1:6" s="23" customFormat="1" ht="76.5">
      <c r="A25" s="10" t="s">
        <v>253</v>
      </c>
      <c r="B25" s="50" t="s">
        <v>254</v>
      </c>
      <c r="C25" s="349">
        <v>10924</v>
      </c>
      <c r="D25" s="349">
        <v>9637.45723</v>
      </c>
      <c r="E25" s="349">
        <v>10924</v>
      </c>
      <c r="F25" s="337">
        <f t="shared" si="1"/>
        <v>100</v>
      </c>
    </row>
    <row r="26" spans="1:6" s="23" customFormat="1" ht="51">
      <c r="A26" s="31" t="s">
        <v>229</v>
      </c>
      <c r="B26" s="50" t="s">
        <v>232</v>
      </c>
      <c r="C26" s="349">
        <v>208</v>
      </c>
      <c r="D26" s="349">
        <v>209.089</v>
      </c>
      <c r="E26" s="349">
        <v>209.1</v>
      </c>
      <c r="F26" s="337">
        <f t="shared" si="1"/>
        <v>100.52884615384615</v>
      </c>
    </row>
    <row r="27" spans="1:6" s="23" customFormat="1">
      <c r="A27" s="6" t="s">
        <v>13</v>
      </c>
      <c r="B27" s="27" t="s">
        <v>14</v>
      </c>
      <c r="C27" s="347">
        <f>C28</f>
        <v>4020</v>
      </c>
      <c r="D27" s="347">
        <f>D28</f>
        <v>2535.3212899999999</v>
      </c>
      <c r="E27" s="347">
        <f>E28</f>
        <v>4020</v>
      </c>
      <c r="F27" s="343">
        <f t="shared" si="1"/>
        <v>100</v>
      </c>
    </row>
    <row r="28" spans="1:6" s="23" customFormat="1">
      <c r="A28" s="31" t="s">
        <v>15</v>
      </c>
      <c r="B28" s="50" t="s">
        <v>16</v>
      </c>
      <c r="C28" s="349">
        <v>4020</v>
      </c>
      <c r="D28" s="349">
        <v>2535.3212899999999</v>
      </c>
      <c r="E28" s="349">
        <v>4020</v>
      </c>
      <c r="F28" s="337">
        <f t="shared" si="1"/>
        <v>100</v>
      </c>
    </row>
    <row r="29" spans="1:6" s="23" customFormat="1" ht="25.5">
      <c r="A29" s="6" t="s">
        <v>113</v>
      </c>
      <c r="B29" s="27" t="s">
        <v>255</v>
      </c>
      <c r="C29" s="347">
        <v>1100</v>
      </c>
      <c r="D29" s="347">
        <v>5565.7465609999999</v>
      </c>
      <c r="E29" s="347">
        <v>5600</v>
      </c>
      <c r="F29" s="343">
        <f t="shared" si="1"/>
        <v>509.09090909090907</v>
      </c>
    </row>
    <row r="30" spans="1:6" s="23" customFormat="1" ht="25.5">
      <c r="A30" s="6" t="s">
        <v>17</v>
      </c>
      <c r="B30" s="27" t="s">
        <v>18</v>
      </c>
      <c r="C30" s="347">
        <f>C31+C32</f>
        <v>115500</v>
      </c>
      <c r="D30" s="347">
        <f>D31+D32</f>
        <v>99367.79297000001</v>
      </c>
      <c r="E30" s="347">
        <f>E31+E32</f>
        <v>115500</v>
      </c>
      <c r="F30" s="343">
        <f t="shared" si="1"/>
        <v>100</v>
      </c>
    </row>
    <row r="31" spans="1:6" s="23" customFormat="1" ht="76.5">
      <c r="A31" s="31" t="s">
        <v>117</v>
      </c>
      <c r="B31" s="50" t="s">
        <v>814</v>
      </c>
      <c r="C31" s="349">
        <v>18500</v>
      </c>
      <c r="D31" s="349">
        <v>10459.28715</v>
      </c>
      <c r="E31" s="349">
        <v>18500</v>
      </c>
      <c r="F31" s="337">
        <f t="shared" si="1"/>
        <v>100</v>
      </c>
    </row>
    <row r="32" spans="1:6" s="23" customFormat="1" ht="38.25">
      <c r="A32" s="31" t="s">
        <v>19</v>
      </c>
      <c r="B32" s="50" t="s">
        <v>20</v>
      </c>
      <c r="C32" s="349">
        <v>97000</v>
      </c>
      <c r="D32" s="349">
        <v>88908.505820000006</v>
      </c>
      <c r="E32" s="349">
        <v>97000</v>
      </c>
      <c r="F32" s="337">
        <f t="shared" si="1"/>
        <v>100</v>
      </c>
    </row>
    <row r="33" spans="1:6" s="23" customFormat="1">
      <c r="A33" s="29" t="s">
        <v>21</v>
      </c>
      <c r="B33" s="27" t="s">
        <v>22</v>
      </c>
      <c r="C33" s="347">
        <v>10000</v>
      </c>
      <c r="D33" s="347">
        <v>-6742.9912100000001</v>
      </c>
      <c r="E33" s="347"/>
      <c r="F33" s="343">
        <f t="shared" si="1"/>
        <v>0</v>
      </c>
    </row>
    <row r="34" spans="1:6" s="23" customFormat="1">
      <c r="A34" s="8" t="s">
        <v>132</v>
      </c>
      <c r="B34" s="27" t="s">
        <v>131</v>
      </c>
      <c r="C34" s="347">
        <v>18500</v>
      </c>
      <c r="D34" s="347">
        <v>24542.670610000001</v>
      </c>
      <c r="E34" s="347">
        <v>26000</v>
      </c>
      <c r="F34" s="343">
        <f t="shared" si="1"/>
        <v>140.54054054054055</v>
      </c>
    </row>
    <row r="35" spans="1:6" s="23" customFormat="1" ht="14.25">
      <c r="A35" s="55" t="s">
        <v>23</v>
      </c>
      <c r="B35" s="57" t="s">
        <v>24</v>
      </c>
      <c r="C35" s="348">
        <f>C36+C65</f>
        <v>3139561.5790600004</v>
      </c>
      <c r="D35" s="348">
        <f>D36+D65</f>
        <v>2856749.3385419999</v>
      </c>
      <c r="E35" s="348">
        <f>E36+E65</f>
        <v>3235871.7470600004</v>
      </c>
      <c r="F35" s="192">
        <f t="shared" si="1"/>
        <v>103.06763111901871</v>
      </c>
    </row>
    <row r="36" spans="1:6" s="23" customFormat="1" ht="14.25">
      <c r="A36" s="55" t="s">
        <v>23</v>
      </c>
      <c r="B36" s="57" t="s">
        <v>24</v>
      </c>
      <c r="C36" s="348">
        <f>C37+C41+C48+C58+C65</f>
        <v>3139561.5790600004</v>
      </c>
      <c r="D36" s="348">
        <f>D37+D41+D48+D58</f>
        <v>2856960.6245419998</v>
      </c>
      <c r="E36" s="348">
        <f>E37+E41+E48+E58</f>
        <v>3236083.0330600003</v>
      </c>
      <c r="F36" s="192">
        <f t="shared" si="1"/>
        <v>103.07436091216593</v>
      </c>
    </row>
    <row r="37" spans="1:6" s="4" customFormat="1" ht="25.5">
      <c r="A37" s="6" t="s">
        <v>450</v>
      </c>
      <c r="B37" s="27" t="s">
        <v>25</v>
      </c>
      <c r="C37" s="347">
        <f>C38+C39+C40</f>
        <v>355705</v>
      </c>
      <c r="D37" s="347">
        <f>D38+D39+D40</f>
        <v>332204.40000000002</v>
      </c>
      <c r="E37" s="347">
        <f>E38+E39+E40</f>
        <v>441994</v>
      </c>
      <c r="F37" s="343">
        <f t="shared" si="1"/>
        <v>124.25858506346552</v>
      </c>
    </row>
    <row r="38" spans="1:6" s="4" customFormat="1" ht="38.25">
      <c r="A38" s="31" t="s">
        <v>820</v>
      </c>
      <c r="B38" s="50" t="s">
        <v>507</v>
      </c>
      <c r="C38" s="340">
        <v>192905</v>
      </c>
      <c r="D38" s="340">
        <v>176825</v>
      </c>
      <c r="E38" s="340">
        <v>192905</v>
      </c>
      <c r="F38" s="337">
        <f t="shared" si="1"/>
        <v>100</v>
      </c>
    </row>
    <row r="39" spans="1:6" s="4" customFormat="1" ht="30" customHeight="1">
      <c r="A39" s="31" t="s">
        <v>718</v>
      </c>
      <c r="B39" s="50" t="s">
        <v>719</v>
      </c>
      <c r="C39" s="340">
        <v>62800</v>
      </c>
      <c r="D39" s="340">
        <v>149089</v>
      </c>
      <c r="E39" s="340">
        <v>149089</v>
      </c>
      <c r="F39" s="341" t="s">
        <v>813</v>
      </c>
    </row>
    <row r="40" spans="1:6" s="4" customFormat="1" ht="38.25">
      <c r="A40" s="189" t="s">
        <v>754</v>
      </c>
      <c r="B40" s="191" t="s">
        <v>755</v>
      </c>
      <c r="C40" s="340">
        <v>100000</v>
      </c>
      <c r="D40" s="340">
        <v>6290.4</v>
      </c>
      <c r="E40" s="340">
        <v>100000</v>
      </c>
      <c r="F40" s="337">
        <f t="shared" ref="F40:F61" si="2">E40/C40*100</f>
        <v>100</v>
      </c>
    </row>
    <row r="41" spans="1:6" s="4" customFormat="1" ht="25.5">
      <c r="A41" s="6" t="s">
        <v>451</v>
      </c>
      <c r="B41" s="27" t="s">
        <v>44</v>
      </c>
      <c r="C41" s="277">
        <f>SUM(C42:C47)</f>
        <v>356169.81056000001</v>
      </c>
      <c r="D41" s="277">
        <f>SUM(D42:D47)</f>
        <v>251727.31406200002</v>
      </c>
      <c r="E41" s="277">
        <f>SUM(E42:E47)</f>
        <v>356169.81056000001</v>
      </c>
      <c r="F41" s="343">
        <f t="shared" si="2"/>
        <v>100</v>
      </c>
    </row>
    <row r="42" spans="1:6" s="190" customFormat="1" ht="76.5">
      <c r="A42" s="189" t="s">
        <v>452</v>
      </c>
      <c r="B42" s="123" t="s">
        <v>516</v>
      </c>
      <c r="C42" s="340">
        <v>164322.79999999999</v>
      </c>
      <c r="D42" s="340">
        <v>153475.24600000001</v>
      </c>
      <c r="E42" s="340">
        <v>164322.79999999999</v>
      </c>
      <c r="F42" s="337">
        <f t="shared" si="2"/>
        <v>100</v>
      </c>
    </row>
    <row r="43" spans="1:6" s="190" customFormat="1" ht="102" customHeight="1">
      <c r="A43" s="346" t="s">
        <v>812</v>
      </c>
      <c r="B43" s="123" t="s">
        <v>811</v>
      </c>
      <c r="C43" s="340">
        <v>97778.907380000004</v>
      </c>
      <c r="D43" s="340">
        <v>16846.798910000001</v>
      </c>
      <c r="E43" s="340">
        <v>97778.907380000004</v>
      </c>
      <c r="F43" s="337">
        <f t="shared" si="2"/>
        <v>100</v>
      </c>
    </row>
    <row r="44" spans="1:6" s="190" customFormat="1" ht="75.75" customHeight="1">
      <c r="A44" s="189" t="s">
        <v>710</v>
      </c>
      <c r="B44" s="123" t="s">
        <v>675</v>
      </c>
      <c r="C44" s="340">
        <v>686.82392000000004</v>
      </c>
      <c r="D44" s="340">
        <v>686.82392000000004</v>
      </c>
      <c r="E44" s="340">
        <v>686.82392000000004</v>
      </c>
      <c r="F44" s="337">
        <f t="shared" si="2"/>
        <v>100</v>
      </c>
    </row>
    <row r="45" spans="1:6" s="190" customFormat="1" ht="64.5" customHeight="1">
      <c r="A45" s="189" t="s">
        <v>508</v>
      </c>
      <c r="B45" s="123" t="s">
        <v>509</v>
      </c>
      <c r="C45" s="340">
        <v>126.66200000000001</v>
      </c>
      <c r="D45" s="340">
        <v>126.66200000000001</v>
      </c>
      <c r="E45" s="340">
        <v>126.66200000000001</v>
      </c>
      <c r="F45" s="337">
        <f t="shared" si="2"/>
        <v>100</v>
      </c>
    </row>
    <row r="46" spans="1:6" s="4" customFormat="1" ht="27.75" customHeight="1">
      <c r="A46" s="31" t="s">
        <v>730</v>
      </c>
      <c r="B46" s="50" t="s">
        <v>810</v>
      </c>
      <c r="C46" s="340">
        <v>9402.0920000000006</v>
      </c>
      <c r="D46" s="340">
        <v>9402.0920000000006</v>
      </c>
      <c r="E46" s="340">
        <v>9402.0920000000006</v>
      </c>
      <c r="F46" s="337">
        <f t="shared" si="2"/>
        <v>100</v>
      </c>
    </row>
    <row r="47" spans="1:6" s="4" customFormat="1" ht="24" customHeight="1">
      <c r="A47" s="31" t="s">
        <v>809</v>
      </c>
      <c r="B47" s="50" t="s">
        <v>808</v>
      </c>
      <c r="C47" s="340">
        <v>83852.525259999995</v>
      </c>
      <c r="D47" s="340">
        <v>71189.691231999997</v>
      </c>
      <c r="E47" s="340">
        <v>83852.525259999995</v>
      </c>
      <c r="F47" s="337">
        <f t="shared" si="2"/>
        <v>100</v>
      </c>
    </row>
    <row r="48" spans="1:6" s="4" customFormat="1" ht="25.5">
      <c r="A48" s="6" t="s">
        <v>453</v>
      </c>
      <c r="B48" s="27" t="s">
        <v>31</v>
      </c>
      <c r="C48" s="277">
        <f>C49+C55+C56+C57</f>
        <v>1667379.352</v>
      </c>
      <c r="D48" s="277">
        <f>D49+D55+D56+D57</f>
        <v>1616892.83748</v>
      </c>
      <c r="E48" s="277">
        <f>E49+E55+E56+E57</f>
        <v>1667379.352</v>
      </c>
      <c r="F48" s="343">
        <f t="shared" si="2"/>
        <v>100</v>
      </c>
    </row>
    <row r="49" spans="1:6" s="4" customFormat="1" ht="40.5">
      <c r="A49" s="228" t="s">
        <v>454</v>
      </c>
      <c r="B49" s="227" t="s">
        <v>118</v>
      </c>
      <c r="C49" s="105">
        <f>C50+C51+C52+C53+C54</f>
        <v>1644711.192</v>
      </c>
      <c r="D49" s="105">
        <f>D50+D51+D52+D53+D54</f>
        <v>1596997.1734799999</v>
      </c>
      <c r="E49" s="105">
        <f>E50+E51+E52+E53+E54</f>
        <v>1644711.192</v>
      </c>
      <c r="F49" s="345">
        <f t="shared" si="2"/>
        <v>100</v>
      </c>
    </row>
    <row r="50" spans="1:6" s="4" customFormat="1" ht="63.75">
      <c r="A50" s="31" t="s">
        <v>455</v>
      </c>
      <c r="B50" s="50" t="s">
        <v>157</v>
      </c>
      <c r="C50" s="340">
        <v>700034</v>
      </c>
      <c r="D50" s="340">
        <v>673118.61499999999</v>
      </c>
      <c r="E50" s="340">
        <v>700034</v>
      </c>
      <c r="F50" s="337">
        <f t="shared" si="2"/>
        <v>100</v>
      </c>
    </row>
    <row r="51" spans="1:6" s="4" customFormat="1" ht="89.25">
      <c r="A51" s="31" t="s">
        <v>456</v>
      </c>
      <c r="B51" s="50" t="s">
        <v>462</v>
      </c>
      <c r="C51" s="340">
        <v>893596</v>
      </c>
      <c r="D51" s="340">
        <v>877845.52448000002</v>
      </c>
      <c r="E51" s="340">
        <v>893596</v>
      </c>
      <c r="F51" s="337">
        <f t="shared" si="2"/>
        <v>100</v>
      </c>
    </row>
    <row r="52" spans="1:6" s="4" customFormat="1" ht="38.25">
      <c r="A52" s="31" t="s">
        <v>457</v>
      </c>
      <c r="B52" s="50" t="s">
        <v>158</v>
      </c>
      <c r="C52" s="340">
        <v>12322.191999999999</v>
      </c>
      <c r="D52" s="340">
        <v>10324.584000000001</v>
      </c>
      <c r="E52" s="340">
        <v>12322.191999999999</v>
      </c>
      <c r="F52" s="337">
        <f t="shared" si="2"/>
        <v>100</v>
      </c>
    </row>
    <row r="53" spans="1:6" s="4" customFormat="1" ht="51">
      <c r="A53" s="31" t="s">
        <v>458</v>
      </c>
      <c r="B53" s="50" t="s">
        <v>159</v>
      </c>
      <c r="C53" s="340">
        <v>36539</v>
      </c>
      <c r="D53" s="340">
        <v>33673.449999999997</v>
      </c>
      <c r="E53" s="340">
        <v>36539</v>
      </c>
      <c r="F53" s="337">
        <f t="shared" si="2"/>
        <v>100</v>
      </c>
    </row>
    <row r="54" spans="1:6" s="4" customFormat="1" ht="51">
      <c r="A54" s="31" t="s">
        <v>459</v>
      </c>
      <c r="B54" s="50" t="s">
        <v>56</v>
      </c>
      <c r="C54" s="340">
        <v>2220</v>
      </c>
      <c r="D54" s="340">
        <v>2035</v>
      </c>
      <c r="E54" s="340">
        <v>2220</v>
      </c>
      <c r="F54" s="337">
        <f t="shared" si="2"/>
        <v>100</v>
      </c>
    </row>
    <row r="55" spans="1:6" s="4" customFormat="1" ht="40.5">
      <c r="A55" s="228" t="s">
        <v>460</v>
      </c>
      <c r="B55" s="227" t="s">
        <v>807</v>
      </c>
      <c r="C55" s="105">
        <v>16500</v>
      </c>
      <c r="D55" s="105">
        <v>19101.3</v>
      </c>
      <c r="E55" s="105">
        <v>16500</v>
      </c>
      <c r="F55" s="345">
        <f t="shared" si="2"/>
        <v>100</v>
      </c>
    </row>
    <row r="56" spans="1:6" s="4" customFormat="1" ht="54">
      <c r="A56" s="228" t="s">
        <v>461</v>
      </c>
      <c r="B56" s="227" t="s">
        <v>256</v>
      </c>
      <c r="C56" s="105">
        <v>182.7</v>
      </c>
      <c r="D56" s="105">
        <v>0</v>
      </c>
      <c r="E56" s="105">
        <v>182.7</v>
      </c>
      <c r="F56" s="345">
        <f t="shared" si="2"/>
        <v>100</v>
      </c>
    </row>
    <row r="57" spans="1:6" s="4" customFormat="1" ht="27">
      <c r="A57" s="189" t="s">
        <v>760</v>
      </c>
      <c r="B57" s="227" t="s">
        <v>761</v>
      </c>
      <c r="C57" s="105">
        <v>5985.46</v>
      </c>
      <c r="D57" s="105">
        <v>794.36400000000003</v>
      </c>
      <c r="E57" s="105">
        <v>5985.46</v>
      </c>
      <c r="F57" s="345">
        <f t="shared" si="2"/>
        <v>100</v>
      </c>
    </row>
    <row r="58" spans="1:6" s="4" customFormat="1">
      <c r="A58" s="6" t="s">
        <v>806</v>
      </c>
      <c r="B58" s="344" t="s">
        <v>463</v>
      </c>
      <c r="C58" s="109">
        <f>C59+C60+C61+C62+C63+C64</f>
        <v>760307.41650000005</v>
      </c>
      <c r="D58" s="109">
        <f>D59+D60+D61+D62+D63+D64</f>
        <v>656136.07300000009</v>
      </c>
      <c r="E58" s="109">
        <f>E59+E60+E61+E62+E63+E64</f>
        <v>770539.87050000008</v>
      </c>
      <c r="F58" s="343">
        <f t="shared" si="2"/>
        <v>101.34583114381603</v>
      </c>
    </row>
    <row r="59" spans="1:6" s="4" customFormat="1" ht="51">
      <c r="A59" s="189" t="s">
        <v>713</v>
      </c>
      <c r="B59" s="123" t="s">
        <v>712</v>
      </c>
      <c r="C59" s="342">
        <v>99446.76</v>
      </c>
      <c r="D59" s="342">
        <v>80434.342999999993</v>
      </c>
      <c r="E59" s="342">
        <v>99446.76</v>
      </c>
      <c r="F59" s="337">
        <f t="shared" si="2"/>
        <v>100</v>
      </c>
    </row>
    <row r="60" spans="1:6" s="4" customFormat="1" ht="51">
      <c r="A60" s="31" t="s">
        <v>464</v>
      </c>
      <c r="B60" s="50" t="s">
        <v>465</v>
      </c>
      <c r="C60" s="340">
        <v>480966</v>
      </c>
      <c r="D60" s="340">
        <v>476609.701</v>
      </c>
      <c r="E60" s="340">
        <v>480966</v>
      </c>
      <c r="F60" s="337">
        <f t="shared" si="2"/>
        <v>100</v>
      </c>
    </row>
    <row r="61" spans="1:6" s="190" customFormat="1" ht="38.25">
      <c r="A61" s="189" t="s">
        <v>744</v>
      </c>
      <c r="B61" s="123" t="s">
        <v>745</v>
      </c>
      <c r="C61" s="340">
        <v>297.56599999999997</v>
      </c>
      <c r="D61" s="340">
        <v>592.38499999999999</v>
      </c>
      <c r="E61" s="340">
        <v>592.4</v>
      </c>
      <c r="F61" s="337">
        <f t="shared" si="2"/>
        <v>199.08188435506747</v>
      </c>
    </row>
    <row r="62" spans="1:6" s="190" customFormat="1" ht="52.5" customHeight="1">
      <c r="A62" s="189" t="s">
        <v>768</v>
      </c>
      <c r="B62" s="123" t="s">
        <v>805</v>
      </c>
      <c r="C62" s="340">
        <v>915.68</v>
      </c>
      <c r="D62" s="340">
        <v>10853.3</v>
      </c>
      <c r="E62" s="340">
        <v>10853.3</v>
      </c>
      <c r="F62" s="341" t="s">
        <v>804</v>
      </c>
    </row>
    <row r="63" spans="1:6" s="190" customFormat="1" ht="63.75">
      <c r="A63" s="66" t="s">
        <v>728</v>
      </c>
      <c r="B63" s="191" t="s">
        <v>729</v>
      </c>
      <c r="C63" s="340">
        <v>170477.85149999999</v>
      </c>
      <c r="D63" s="340">
        <v>86786.376000000004</v>
      </c>
      <c r="E63" s="340">
        <v>170477.85149999999</v>
      </c>
      <c r="F63" s="337">
        <f>E63/C63*100</f>
        <v>100</v>
      </c>
    </row>
    <row r="64" spans="1:6" s="190" customFormat="1" ht="89.25">
      <c r="A64" s="66" t="s">
        <v>742</v>
      </c>
      <c r="B64" s="195" t="s">
        <v>743</v>
      </c>
      <c r="C64" s="340">
        <v>8203.5589999999993</v>
      </c>
      <c r="D64" s="340">
        <v>859.96799999999996</v>
      </c>
      <c r="E64" s="340">
        <v>8203.5589999999993</v>
      </c>
      <c r="F64" s="337">
        <f>E64/C64*100</f>
        <v>100</v>
      </c>
    </row>
    <row r="65" spans="1:6" s="190" customFormat="1">
      <c r="A65" s="8" t="s">
        <v>803</v>
      </c>
      <c r="B65" s="27" t="s">
        <v>802</v>
      </c>
      <c r="C65" s="216"/>
      <c r="D65" s="216">
        <f>D66</f>
        <v>-211.286</v>
      </c>
      <c r="E65" s="216">
        <f>E66</f>
        <v>-211.286</v>
      </c>
      <c r="F65" s="337"/>
    </row>
    <row r="66" spans="1:6" s="190" customFormat="1" ht="38.25">
      <c r="A66" s="10" t="s">
        <v>801</v>
      </c>
      <c r="B66" s="339" t="s">
        <v>800</v>
      </c>
      <c r="C66" s="338"/>
      <c r="D66" s="338">
        <v>-211.286</v>
      </c>
      <c r="E66" s="338">
        <v>-211.286</v>
      </c>
      <c r="F66" s="337"/>
    </row>
    <row r="67" spans="1:6" ht="14.25">
      <c r="A67" s="56" t="s">
        <v>96</v>
      </c>
      <c r="B67" s="57" t="s">
        <v>97</v>
      </c>
      <c r="C67" s="336">
        <f>C6+C36</f>
        <v>5858287.5790600004</v>
      </c>
      <c r="D67" s="336">
        <f>D6+D35</f>
        <v>5026343.9300429998</v>
      </c>
      <c r="E67" s="336">
        <f>E6+E35</f>
        <v>5950053.8470600005</v>
      </c>
      <c r="F67" s="192">
        <f>E67/C67*100</f>
        <v>101.56643501640328</v>
      </c>
    </row>
    <row r="68" spans="1:6" ht="15.75" hidden="1" customHeight="1"/>
    <row r="69" spans="1:6" ht="17.25" hidden="1" customHeight="1">
      <c r="A69" s="354" t="s">
        <v>799</v>
      </c>
      <c r="B69" s="354"/>
      <c r="C69" s="354"/>
      <c r="D69" s="267"/>
      <c r="E69" s="267"/>
      <c r="F69" s="267"/>
    </row>
    <row r="75" spans="1:6">
      <c r="B75" t="s">
        <v>798</v>
      </c>
    </row>
  </sheetData>
  <autoFilter ref="A20:E20"/>
  <mergeCells count="5">
    <mergeCell ref="A1:C1"/>
    <mergeCell ref="A2:F2"/>
    <mergeCell ref="A3:F3"/>
    <mergeCell ref="A4:F4"/>
    <mergeCell ref="A69:C69"/>
  </mergeCells>
  <pageMargins left="0.59055118110236227" right="0.39370078740157483" top="0.59055118110236227" bottom="0.47244094488188981" header="0" footer="0"/>
  <pageSetup paperSize="9" scale="75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3"/>
  </sheetPr>
  <dimension ref="A1:K1092"/>
  <sheetViews>
    <sheetView view="pageBreakPreview" topLeftCell="A1040" zoomScale="130" zoomScaleNormal="130" zoomScaleSheetLayoutView="130" workbookViewId="0">
      <selection activeCell="A1091" sqref="A1091:XFD1092"/>
    </sheetView>
  </sheetViews>
  <sheetFormatPr defaultRowHeight="12.75"/>
  <cols>
    <col min="1" max="1" width="82.28515625" style="26" customWidth="1"/>
    <col min="2" max="2" width="8.28515625" style="5" customWidth="1"/>
    <col min="3" max="3" width="7.7109375" style="5" customWidth="1"/>
    <col min="4" max="4" width="7" style="5" customWidth="1"/>
    <col min="5" max="5" width="13.42578125" style="5" customWidth="1"/>
    <col min="6" max="6" width="9" style="5" customWidth="1"/>
    <col min="7" max="7" width="14.42578125" style="23" customWidth="1"/>
    <col min="8" max="8" width="13.42578125" style="23" customWidth="1"/>
    <col min="9" max="9" width="13.140625" style="23" customWidth="1"/>
    <col min="10" max="10" width="9.140625" style="23" customWidth="1"/>
    <col min="11" max="16384" width="9.140625" style="23"/>
  </cols>
  <sheetData>
    <row r="1" spans="1:11">
      <c r="A1" s="221"/>
      <c r="B1" s="222"/>
      <c r="C1" s="222"/>
      <c r="D1" s="222"/>
      <c r="E1" s="222"/>
      <c r="F1" s="222"/>
      <c r="G1" s="39"/>
      <c r="H1" s="39"/>
      <c r="I1" s="39"/>
    </row>
    <row r="2" spans="1:11" ht="15.75">
      <c r="A2" s="363"/>
      <c r="B2" s="363"/>
      <c r="C2" s="363"/>
      <c r="D2" s="363"/>
      <c r="E2" s="363"/>
      <c r="F2" s="363"/>
    </row>
    <row r="3" spans="1:11" ht="15.75">
      <c r="A3" s="364" t="s">
        <v>776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</row>
    <row r="4" spans="1:11" ht="15.75">
      <c r="A4" s="223"/>
      <c r="B4" s="223"/>
      <c r="C4" s="223"/>
      <c r="D4" s="223"/>
      <c r="E4" s="223"/>
      <c r="F4" s="223"/>
    </row>
    <row r="5" spans="1:11">
      <c r="A5" s="362" t="s">
        <v>410</v>
      </c>
      <c r="B5" s="362"/>
      <c r="C5" s="362"/>
      <c r="D5" s="362"/>
      <c r="E5" s="362"/>
      <c r="F5" s="362"/>
      <c r="G5" s="362"/>
      <c r="H5" s="362"/>
      <c r="I5" s="362"/>
      <c r="J5" s="362"/>
    </row>
    <row r="6" spans="1:11" ht="38.25" customHeight="1">
      <c r="A6" s="356" t="s">
        <v>99</v>
      </c>
      <c r="B6" s="356" t="s">
        <v>356</v>
      </c>
      <c r="C6" s="356" t="s">
        <v>33</v>
      </c>
      <c r="D6" s="356" t="s">
        <v>32</v>
      </c>
      <c r="E6" s="356" t="s">
        <v>100</v>
      </c>
      <c r="F6" s="356" t="s">
        <v>357</v>
      </c>
      <c r="G6" s="358" t="s">
        <v>778</v>
      </c>
      <c r="H6" s="360" t="s">
        <v>779</v>
      </c>
      <c r="I6" s="360" t="s">
        <v>780</v>
      </c>
      <c r="J6" s="360" t="s">
        <v>777</v>
      </c>
    </row>
    <row r="7" spans="1:11">
      <c r="A7" s="357"/>
      <c r="B7" s="357"/>
      <c r="C7" s="357"/>
      <c r="D7" s="357"/>
      <c r="E7" s="357"/>
      <c r="F7" s="357"/>
      <c r="G7" s="359"/>
      <c r="H7" s="361"/>
      <c r="I7" s="361"/>
      <c r="J7" s="361"/>
    </row>
    <row r="8" spans="1:11" customFormat="1" ht="15.75">
      <c r="A8" s="20" t="s">
        <v>102</v>
      </c>
      <c r="B8" s="15"/>
      <c r="C8" s="15"/>
      <c r="D8" s="15"/>
      <c r="E8" s="15"/>
      <c r="F8" s="15"/>
      <c r="G8" s="33">
        <f>G9+G188+G233+G275+G312+G385+G463+G545+G654+G696+G738+G852+G880+G912+G1041+G1073</f>
        <v>6186059.6498899991</v>
      </c>
      <c r="H8" s="33">
        <f t="shared" ref="H8" si="0">H9+H188+H233+H275+H312+H385+H463+H545+H654+H696+H738+H852+H880+H912+H1041+H1073</f>
        <v>4646803.5259500006</v>
      </c>
      <c r="I8" s="33">
        <v>6068337.7999999998</v>
      </c>
      <c r="J8" s="33">
        <f>I8/G8*100</f>
        <v>98.096981656294048</v>
      </c>
      <c r="K8" s="326"/>
    </row>
    <row r="9" spans="1:11" ht="15.75">
      <c r="A9" s="213" t="s">
        <v>407</v>
      </c>
      <c r="B9" s="214">
        <v>598</v>
      </c>
      <c r="C9" s="214"/>
      <c r="D9" s="214"/>
      <c r="E9" s="214"/>
      <c r="F9" s="214"/>
      <c r="G9" s="215">
        <f>G10+G100+G115+G156+G182</f>
        <v>300261.64784999995</v>
      </c>
      <c r="H9" s="215">
        <f t="shared" ref="H9:I9" si="1">H10+H100+H115+H156+H182</f>
        <v>197102.83658999996</v>
      </c>
      <c r="I9" s="215">
        <f t="shared" si="1"/>
        <v>295232.84785000002</v>
      </c>
      <c r="J9" s="215">
        <f>I9/G9*100</f>
        <v>98.325194031269632</v>
      </c>
    </row>
    <row r="10" spans="1:11">
      <c r="A10" s="133" t="s">
        <v>103</v>
      </c>
      <c r="B10" s="132">
        <v>598</v>
      </c>
      <c r="C10" s="132" t="s">
        <v>69</v>
      </c>
      <c r="D10" s="132" t="s">
        <v>70</v>
      </c>
      <c r="E10" s="132"/>
      <c r="F10" s="132"/>
      <c r="G10" s="158">
        <f>G11+G17+G31+G37</f>
        <v>218162.53425999999</v>
      </c>
      <c r="H10" s="158">
        <f t="shared" ref="H10:I10" si="2">H11+H17+H31+H37</f>
        <v>153726.96768</v>
      </c>
      <c r="I10" s="158">
        <f t="shared" si="2"/>
        <v>217724.73426</v>
      </c>
      <c r="J10" s="158">
        <f>I10/G10*100</f>
        <v>99.799323929984126</v>
      </c>
    </row>
    <row r="11" spans="1:11">
      <c r="A11" s="173" t="s">
        <v>67</v>
      </c>
      <c r="B11" s="140" t="s">
        <v>358</v>
      </c>
      <c r="C11" s="140" t="s">
        <v>69</v>
      </c>
      <c r="D11" s="140" t="s">
        <v>71</v>
      </c>
      <c r="E11" s="140" t="s">
        <v>184</v>
      </c>
      <c r="F11" s="140"/>
      <c r="G11" s="175">
        <f t="shared" ref="G11:I15" si="3">G12</f>
        <v>1850</v>
      </c>
      <c r="H11" s="175">
        <f t="shared" si="3"/>
        <v>1548.6597099999999</v>
      </c>
      <c r="I11" s="175">
        <f t="shared" si="3"/>
        <v>1850</v>
      </c>
      <c r="J11" s="175">
        <f t="shared" ref="J11:J74" si="4">I11/G11*100</f>
        <v>100</v>
      </c>
    </row>
    <row r="12" spans="1:11">
      <c r="A12" s="212" t="s">
        <v>272</v>
      </c>
      <c r="B12" s="132" t="s">
        <v>358</v>
      </c>
      <c r="C12" s="132" t="s">
        <v>69</v>
      </c>
      <c r="D12" s="132" t="s">
        <v>71</v>
      </c>
      <c r="E12" s="132" t="s">
        <v>185</v>
      </c>
      <c r="F12" s="132"/>
      <c r="G12" s="158">
        <f t="shared" si="3"/>
        <v>1850</v>
      </c>
      <c r="H12" s="158">
        <f t="shared" si="3"/>
        <v>1548.6597099999999</v>
      </c>
      <c r="I12" s="158">
        <f t="shared" si="3"/>
        <v>1850</v>
      </c>
      <c r="J12" s="158">
        <f t="shared" si="4"/>
        <v>100</v>
      </c>
    </row>
    <row r="13" spans="1:11" ht="24">
      <c r="A13" s="224" t="s">
        <v>281</v>
      </c>
      <c r="B13" s="140">
        <v>598</v>
      </c>
      <c r="C13" s="140" t="s">
        <v>69</v>
      </c>
      <c r="D13" s="140" t="s">
        <v>71</v>
      </c>
      <c r="E13" s="140" t="s">
        <v>185</v>
      </c>
      <c r="F13" s="148"/>
      <c r="G13" s="175">
        <f t="shared" si="3"/>
        <v>1850</v>
      </c>
      <c r="H13" s="175">
        <f t="shared" si="3"/>
        <v>1548.6597099999999</v>
      </c>
      <c r="I13" s="175">
        <f t="shared" si="3"/>
        <v>1850</v>
      </c>
      <c r="J13" s="175">
        <f t="shared" si="4"/>
        <v>100</v>
      </c>
    </row>
    <row r="14" spans="1:11">
      <c r="A14" s="212" t="s">
        <v>271</v>
      </c>
      <c r="B14" s="132">
        <v>598</v>
      </c>
      <c r="C14" s="132" t="s">
        <v>69</v>
      </c>
      <c r="D14" s="132" t="s">
        <v>71</v>
      </c>
      <c r="E14" s="132" t="s">
        <v>186</v>
      </c>
      <c r="F14" s="132"/>
      <c r="G14" s="158">
        <f t="shared" si="3"/>
        <v>1850</v>
      </c>
      <c r="H14" s="158">
        <f t="shared" si="3"/>
        <v>1548.6597099999999</v>
      </c>
      <c r="I14" s="158">
        <f t="shared" si="3"/>
        <v>1850</v>
      </c>
      <c r="J14" s="158">
        <f t="shared" si="4"/>
        <v>100</v>
      </c>
    </row>
    <row r="15" spans="1:11" ht="36">
      <c r="A15" s="131" t="s">
        <v>72</v>
      </c>
      <c r="B15" s="22" t="s">
        <v>358</v>
      </c>
      <c r="C15" s="22" t="s">
        <v>69</v>
      </c>
      <c r="D15" s="22" t="s">
        <v>71</v>
      </c>
      <c r="E15" s="22" t="s">
        <v>186</v>
      </c>
      <c r="F15" s="22" t="s">
        <v>73</v>
      </c>
      <c r="G15" s="156">
        <f t="shared" si="3"/>
        <v>1850</v>
      </c>
      <c r="H15" s="156">
        <f t="shared" si="3"/>
        <v>1548.6597099999999</v>
      </c>
      <c r="I15" s="156">
        <f t="shared" si="3"/>
        <v>1850</v>
      </c>
      <c r="J15" s="156">
        <f t="shared" si="4"/>
        <v>100</v>
      </c>
    </row>
    <row r="16" spans="1:11">
      <c r="A16" s="131" t="s">
        <v>74</v>
      </c>
      <c r="B16" s="22" t="s">
        <v>358</v>
      </c>
      <c r="C16" s="22" t="s">
        <v>69</v>
      </c>
      <c r="D16" s="22" t="s">
        <v>71</v>
      </c>
      <c r="E16" s="22" t="s">
        <v>186</v>
      </c>
      <c r="F16" s="22" t="s">
        <v>75</v>
      </c>
      <c r="G16" s="156">
        <v>1850</v>
      </c>
      <c r="H16" s="156">
        <v>1548.6597099999999</v>
      </c>
      <c r="I16" s="156">
        <v>1850</v>
      </c>
      <c r="J16" s="156">
        <f t="shared" si="4"/>
        <v>100</v>
      </c>
    </row>
    <row r="17" spans="1:10" ht="24">
      <c r="A17" s="133" t="s">
        <v>280</v>
      </c>
      <c r="B17" s="132">
        <v>598</v>
      </c>
      <c r="C17" s="132" t="s">
        <v>69</v>
      </c>
      <c r="D17" s="132" t="s">
        <v>71</v>
      </c>
      <c r="E17" s="132"/>
      <c r="F17" s="132"/>
      <c r="G17" s="158">
        <f t="shared" ref="G17:I18" si="5">G18</f>
        <v>100644.21725999999</v>
      </c>
      <c r="H17" s="158">
        <f t="shared" si="5"/>
        <v>73653.514909999998</v>
      </c>
      <c r="I17" s="158">
        <f t="shared" si="5"/>
        <v>100644.21725999999</v>
      </c>
      <c r="J17" s="158">
        <f t="shared" si="4"/>
        <v>100</v>
      </c>
    </row>
    <row r="18" spans="1:10">
      <c r="A18" s="173" t="s">
        <v>67</v>
      </c>
      <c r="B18" s="140" t="s">
        <v>358</v>
      </c>
      <c r="C18" s="140" t="s">
        <v>69</v>
      </c>
      <c r="D18" s="140" t="s">
        <v>71</v>
      </c>
      <c r="E18" s="140" t="s">
        <v>187</v>
      </c>
      <c r="F18" s="140"/>
      <c r="G18" s="175">
        <f t="shared" si="5"/>
        <v>100644.21725999999</v>
      </c>
      <c r="H18" s="175">
        <f t="shared" si="5"/>
        <v>73653.514909999998</v>
      </c>
      <c r="I18" s="175">
        <f t="shared" si="5"/>
        <v>100644.21725999999</v>
      </c>
      <c r="J18" s="175">
        <f t="shared" si="4"/>
        <v>100</v>
      </c>
    </row>
    <row r="19" spans="1:10">
      <c r="A19" s="212" t="s">
        <v>272</v>
      </c>
      <c r="B19" s="132" t="s">
        <v>358</v>
      </c>
      <c r="C19" s="132" t="s">
        <v>69</v>
      </c>
      <c r="D19" s="132" t="s">
        <v>71</v>
      </c>
      <c r="E19" s="132" t="s">
        <v>188</v>
      </c>
      <c r="F19" s="140"/>
      <c r="G19" s="158">
        <f>G20+G23+G28</f>
        <v>100644.21725999999</v>
      </c>
      <c r="H19" s="158">
        <f t="shared" ref="H19:I19" si="6">H20+H23+H28</f>
        <v>73653.514909999998</v>
      </c>
      <c r="I19" s="158">
        <f t="shared" si="6"/>
        <v>100644.21725999999</v>
      </c>
      <c r="J19" s="158">
        <f t="shared" si="4"/>
        <v>100</v>
      </c>
    </row>
    <row r="20" spans="1:10">
      <c r="A20" s="212" t="s">
        <v>26</v>
      </c>
      <c r="B20" s="132" t="s">
        <v>358</v>
      </c>
      <c r="C20" s="132" t="s">
        <v>69</v>
      </c>
      <c r="D20" s="132" t="s">
        <v>71</v>
      </c>
      <c r="E20" s="132" t="s">
        <v>189</v>
      </c>
      <c r="F20" s="132"/>
      <c r="G20" s="158">
        <f t="shared" ref="G20:I21" si="7">G21</f>
        <v>78841.162259999997</v>
      </c>
      <c r="H20" s="158">
        <f t="shared" si="7"/>
        <v>60075.426749999999</v>
      </c>
      <c r="I20" s="158">
        <f t="shared" si="7"/>
        <v>78841.162259999997</v>
      </c>
      <c r="J20" s="158">
        <f t="shared" si="4"/>
        <v>100</v>
      </c>
    </row>
    <row r="21" spans="1:10" ht="36">
      <c r="A21" s="131" t="s">
        <v>72</v>
      </c>
      <c r="B21" s="22" t="s">
        <v>358</v>
      </c>
      <c r="C21" s="22" t="s">
        <v>69</v>
      </c>
      <c r="D21" s="22" t="s">
        <v>71</v>
      </c>
      <c r="E21" s="22" t="s">
        <v>189</v>
      </c>
      <c r="F21" s="22" t="s">
        <v>73</v>
      </c>
      <c r="G21" s="156">
        <f t="shared" si="7"/>
        <v>78841.162259999997</v>
      </c>
      <c r="H21" s="156">
        <f t="shared" si="7"/>
        <v>60075.426749999999</v>
      </c>
      <c r="I21" s="156">
        <f t="shared" si="7"/>
        <v>78841.162259999997</v>
      </c>
      <c r="J21" s="156">
        <f t="shared" si="4"/>
        <v>100</v>
      </c>
    </row>
    <row r="22" spans="1:10">
      <c r="A22" s="131" t="s">
        <v>74</v>
      </c>
      <c r="B22" s="22" t="s">
        <v>358</v>
      </c>
      <c r="C22" s="22" t="s">
        <v>69</v>
      </c>
      <c r="D22" s="22" t="s">
        <v>71</v>
      </c>
      <c r="E22" s="22" t="s">
        <v>189</v>
      </c>
      <c r="F22" s="22" t="s">
        <v>75</v>
      </c>
      <c r="G22" s="156">
        <f>53300+200+100+934+16157+8150.16226</f>
        <v>78841.162259999997</v>
      </c>
      <c r="H22" s="156">
        <v>60075.426749999999</v>
      </c>
      <c r="I22" s="156">
        <f>53300+200+100+934+16157+8150.16226</f>
        <v>78841.162259999997</v>
      </c>
      <c r="J22" s="156">
        <f t="shared" si="4"/>
        <v>100</v>
      </c>
    </row>
    <row r="23" spans="1:10">
      <c r="A23" s="133" t="s">
        <v>76</v>
      </c>
      <c r="B23" s="132" t="s">
        <v>358</v>
      </c>
      <c r="C23" s="132" t="s">
        <v>69</v>
      </c>
      <c r="D23" s="132" t="s">
        <v>71</v>
      </c>
      <c r="E23" s="132" t="s">
        <v>190</v>
      </c>
      <c r="F23" s="132"/>
      <c r="G23" s="158">
        <f>G24+G26</f>
        <v>19445</v>
      </c>
      <c r="H23" s="158">
        <f t="shared" ref="H23:I23" si="8">H24+H26</f>
        <v>11223.652480000001</v>
      </c>
      <c r="I23" s="158">
        <f t="shared" si="8"/>
        <v>19445</v>
      </c>
      <c r="J23" s="158">
        <f t="shared" si="4"/>
        <v>100</v>
      </c>
    </row>
    <row r="24" spans="1:10">
      <c r="A24" s="131" t="s">
        <v>486</v>
      </c>
      <c r="B24" s="22" t="s">
        <v>358</v>
      </c>
      <c r="C24" s="22" t="s">
        <v>69</v>
      </c>
      <c r="D24" s="22" t="s">
        <v>71</v>
      </c>
      <c r="E24" s="22" t="s">
        <v>190</v>
      </c>
      <c r="F24" s="22" t="s">
        <v>77</v>
      </c>
      <c r="G24" s="156">
        <f>G25</f>
        <v>17305</v>
      </c>
      <c r="H24" s="156">
        <f t="shared" ref="H24:I24" si="9">H25</f>
        <v>10285.52238</v>
      </c>
      <c r="I24" s="156">
        <f t="shared" si="9"/>
        <v>17305</v>
      </c>
      <c r="J24" s="156">
        <f t="shared" si="4"/>
        <v>100</v>
      </c>
    </row>
    <row r="25" spans="1:10">
      <c r="A25" s="131" t="s">
        <v>78</v>
      </c>
      <c r="B25" s="22" t="s">
        <v>358</v>
      </c>
      <c r="C25" s="22" t="s">
        <v>69</v>
      </c>
      <c r="D25" s="22" t="s">
        <v>71</v>
      </c>
      <c r="E25" s="22" t="s">
        <v>190</v>
      </c>
      <c r="F25" s="22" t="s">
        <v>79</v>
      </c>
      <c r="G25" s="156">
        <f>865+10250+500+3560+330+1000+800</f>
        <v>17305</v>
      </c>
      <c r="H25" s="156">
        <v>10285.52238</v>
      </c>
      <c r="I25" s="156">
        <f>865+10250+500+3560+330+1000+800</f>
        <v>17305</v>
      </c>
      <c r="J25" s="156">
        <f t="shared" si="4"/>
        <v>100</v>
      </c>
    </row>
    <row r="26" spans="1:10">
      <c r="A26" s="131" t="s">
        <v>80</v>
      </c>
      <c r="B26" s="22" t="s">
        <v>358</v>
      </c>
      <c r="C26" s="22" t="s">
        <v>69</v>
      </c>
      <c r="D26" s="22" t="s">
        <v>71</v>
      </c>
      <c r="E26" s="22" t="s">
        <v>190</v>
      </c>
      <c r="F26" s="22" t="s">
        <v>81</v>
      </c>
      <c r="G26" s="156">
        <f>G27</f>
        <v>2140</v>
      </c>
      <c r="H26" s="156">
        <f>H27</f>
        <v>938.13009999999997</v>
      </c>
      <c r="I26" s="156">
        <f>I27</f>
        <v>2140</v>
      </c>
      <c r="J26" s="156">
        <f t="shared" si="4"/>
        <v>100</v>
      </c>
    </row>
    <row r="27" spans="1:10">
      <c r="A27" s="131" t="s">
        <v>445</v>
      </c>
      <c r="B27" s="22" t="s">
        <v>358</v>
      </c>
      <c r="C27" s="22" t="s">
        <v>69</v>
      </c>
      <c r="D27" s="22" t="s">
        <v>71</v>
      </c>
      <c r="E27" s="22" t="s">
        <v>190</v>
      </c>
      <c r="F27" s="22" t="s">
        <v>82</v>
      </c>
      <c r="G27" s="156">
        <f>560+50+30+500+1000</f>
        <v>2140</v>
      </c>
      <c r="H27" s="156">
        <v>938.13009999999997</v>
      </c>
      <c r="I27" s="156">
        <f>560+50+30+500+1000</f>
        <v>2140</v>
      </c>
      <c r="J27" s="156">
        <f t="shared" si="4"/>
        <v>100</v>
      </c>
    </row>
    <row r="28" spans="1:10">
      <c r="A28" s="133" t="s">
        <v>774</v>
      </c>
      <c r="B28" s="132" t="s">
        <v>358</v>
      </c>
      <c r="C28" s="132" t="s">
        <v>69</v>
      </c>
      <c r="D28" s="132" t="s">
        <v>71</v>
      </c>
      <c r="E28" s="132" t="s">
        <v>769</v>
      </c>
      <c r="F28" s="132"/>
      <c r="G28" s="158">
        <f t="shared" ref="G28:I29" si="10">G29</f>
        <v>2358.0549999999998</v>
      </c>
      <c r="H28" s="158">
        <f t="shared" si="10"/>
        <v>2354.43568</v>
      </c>
      <c r="I28" s="158">
        <f t="shared" si="10"/>
        <v>2358.0549999999998</v>
      </c>
      <c r="J28" s="158">
        <f t="shared" si="4"/>
        <v>100</v>
      </c>
    </row>
    <row r="29" spans="1:10" ht="36">
      <c r="A29" s="131" t="s">
        <v>72</v>
      </c>
      <c r="B29" s="22" t="s">
        <v>358</v>
      </c>
      <c r="C29" s="22" t="s">
        <v>69</v>
      </c>
      <c r="D29" s="22" t="s">
        <v>71</v>
      </c>
      <c r="E29" s="22" t="s">
        <v>769</v>
      </c>
      <c r="F29" s="22" t="s">
        <v>73</v>
      </c>
      <c r="G29" s="156">
        <f t="shared" si="10"/>
        <v>2358.0549999999998</v>
      </c>
      <c r="H29" s="156">
        <f t="shared" si="10"/>
        <v>2354.43568</v>
      </c>
      <c r="I29" s="156">
        <f t="shared" si="10"/>
        <v>2358.0549999999998</v>
      </c>
      <c r="J29" s="156">
        <f t="shared" si="4"/>
        <v>100</v>
      </c>
    </row>
    <row r="30" spans="1:10">
      <c r="A30" s="131" t="s">
        <v>74</v>
      </c>
      <c r="B30" s="22" t="s">
        <v>358</v>
      </c>
      <c r="C30" s="22" t="s">
        <v>69</v>
      </c>
      <c r="D30" s="22" t="s">
        <v>71</v>
      </c>
      <c r="E30" s="22" t="s">
        <v>769</v>
      </c>
      <c r="F30" s="22" t="s">
        <v>75</v>
      </c>
      <c r="G30" s="156">
        <v>2358.0549999999998</v>
      </c>
      <c r="H30" s="156">
        <v>2354.43568</v>
      </c>
      <c r="I30" s="156">
        <v>2358.0549999999998</v>
      </c>
      <c r="J30" s="156">
        <f t="shared" si="4"/>
        <v>100</v>
      </c>
    </row>
    <row r="31" spans="1:10">
      <c r="A31" s="133" t="s">
        <v>284</v>
      </c>
      <c r="B31" s="132">
        <v>598</v>
      </c>
      <c r="C31" s="132" t="s">
        <v>69</v>
      </c>
      <c r="D31" s="132" t="s">
        <v>83</v>
      </c>
      <c r="E31" s="132"/>
      <c r="F31" s="132"/>
      <c r="G31" s="158">
        <f t="shared" ref="G31:I35" si="11">G32</f>
        <v>3027.857</v>
      </c>
      <c r="H31" s="324">
        <f t="shared" si="11"/>
        <v>0</v>
      </c>
      <c r="I31" s="158">
        <f t="shared" si="11"/>
        <v>3027.857</v>
      </c>
      <c r="J31" s="158">
        <f t="shared" si="4"/>
        <v>100</v>
      </c>
    </row>
    <row r="32" spans="1:10" s="219" customFormat="1">
      <c r="A32" s="173" t="s">
        <v>67</v>
      </c>
      <c r="B32" s="140">
        <v>598</v>
      </c>
      <c r="C32" s="140" t="s">
        <v>69</v>
      </c>
      <c r="D32" s="140" t="s">
        <v>83</v>
      </c>
      <c r="E32" s="140" t="s">
        <v>187</v>
      </c>
      <c r="F32" s="140"/>
      <c r="G32" s="175">
        <f t="shared" si="11"/>
        <v>3027.857</v>
      </c>
      <c r="H32" s="325">
        <f t="shared" si="11"/>
        <v>0</v>
      </c>
      <c r="I32" s="175">
        <f t="shared" si="11"/>
        <v>3027.857</v>
      </c>
      <c r="J32" s="175">
        <f t="shared" si="4"/>
        <v>100</v>
      </c>
    </row>
    <row r="33" spans="1:10" s="219" customFormat="1">
      <c r="A33" s="212" t="s">
        <v>272</v>
      </c>
      <c r="B33" s="132" t="s">
        <v>358</v>
      </c>
      <c r="C33" s="132" t="s">
        <v>69</v>
      </c>
      <c r="D33" s="132" t="s">
        <v>83</v>
      </c>
      <c r="E33" s="132" t="s">
        <v>188</v>
      </c>
      <c r="F33" s="132"/>
      <c r="G33" s="158">
        <f t="shared" si="11"/>
        <v>3027.857</v>
      </c>
      <c r="H33" s="324">
        <f t="shared" si="11"/>
        <v>0</v>
      </c>
      <c r="I33" s="158">
        <f t="shared" si="11"/>
        <v>3027.857</v>
      </c>
      <c r="J33" s="158">
        <f t="shared" si="4"/>
        <v>100</v>
      </c>
    </row>
    <row r="34" spans="1:10" s="208" customFormat="1">
      <c r="A34" s="131" t="s">
        <v>84</v>
      </c>
      <c r="B34" s="22">
        <v>598</v>
      </c>
      <c r="C34" s="22" t="s">
        <v>69</v>
      </c>
      <c r="D34" s="22" t="s">
        <v>83</v>
      </c>
      <c r="E34" s="22" t="s">
        <v>288</v>
      </c>
      <c r="F34" s="22"/>
      <c r="G34" s="156">
        <f t="shared" si="11"/>
        <v>3027.857</v>
      </c>
      <c r="H34" s="323">
        <f t="shared" si="11"/>
        <v>0</v>
      </c>
      <c r="I34" s="156">
        <f t="shared" si="11"/>
        <v>3027.857</v>
      </c>
      <c r="J34" s="156">
        <f t="shared" si="4"/>
        <v>100</v>
      </c>
    </row>
    <row r="35" spans="1:10" s="208" customFormat="1">
      <c r="A35" s="131" t="s">
        <v>80</v>
      </c>
      <c r="B35" s="22">
        <v>598</v>
      </c>
      <c r="C35" s="22" t="s">
        <v>69</v>
      </c>
      <c r="D35" s="22" t="s">
        <v>83</v>
      </c>
      <c r="E35" s="22" t="s">
        <v>288</v>
      </c>
      <c r="F35" s="22" t="s">
        <v>81</v>
      </c>
      <c r="G35" s="156">
        <f t="shared" si="11"/>
        <v>3027.857</v>
      </c>
      <c r="H35" s="323">
        <f t="shared" si="11"/>
        <v>0</v>
      </c>
      <c r="I35" s="156">
        <f t="shared" si="11"/>
        <v>3027.857</v>
      </c>
      <c r="J35" s="156">
        <f t="shared" si="4"/>
        <v>100</v>
      </c>
    </row>
    <row r="36" spans="1:10" s="208" customFormat="1">
      <c r="A36" s="131" t="s">
        <v>85</v>
      </c>
      <c r="B36" s="22">
        <v>598</v>
      </c>
      <c r="C36" s="22" t="s">
        <v>69</v>
      </c>
      <c r="D36" s="22" t="s">
        <v>83</v>
      </c>
      <c r="E36" s="22" t="s">
        <v>288</v>
      </c>
      <c r="F36" s="22" t="s">
        <v>380</v>
      </c>
      <c r="G36" s="156">
        <f>3000-2942.143+3000-30</f>
        <v>3027.857</v>
      </c>
      <c r="H36" s="323">
        <v>0</v>
      </c>
      <c r="I36" s="156">
        <f>3000-2942.143+3000-30</f>
        <v>3027.857</v>
      </c>
      <c r="J36" s="156">
        <f t="shared" si="4"/>
        <v>100</v>
      </c>
    </row>
    <row r="37" spans="1:10">
      <c r="A37" s="133" t="s">
        <v>285</v>
      </c>
      <c r="B37" s="132" t="s">
        <v>358</v>
      </c>
      <c r="C37" s="132" t="s">
        <v>69</v>
      </c>
      <c r="D37" s="132" t="s">
        <v>86</v>
      </c>
      <c r="E37" s="132"/>
      <c r="F37" s="132"/>
      <c r="G37" s="158">
        <f>G38+G65+G95</f>
        <v>112640.46</v>
      </c>
      <c r="H37" s="158">
        <f>H38+H65+H95</f>
        <v>78524.793060000011</v>
      </c>
      <c r="I37" s="158">
        <f>I38+I65+I95</f>
        <v>112202.66</v>
      </c>
      <c r="J37" s="158">
        <f t="shared" si="4"/>
        <v>99.611329712254374</v>
      </c>
    </row>
    <row r="38" spans="1:10">
      <c r="A38" s="173" t="s">
        <v>67</v>
      </c>
      <c r="B38" s="140">
        <v>598</v>
      </c>
      <c r="C38" s="140" t="s">
        <v>69</v>
      </c>
      <c r="D38" s="140" t="s">
        <v>86</v>
      </c>
      <c r="E38" s="140" t="s">
        <v>187</v>
      </c>
      <c r="F38" s="140"/>
      <c r="G38" s="175">
        <f>G39</f>
        <v>70447.460000000006</v>
      </c>
      <c r="H38" s="175">
        <f>H39</f>
        <v>51419.311310000005</v>
      </c>
      <c r="I38" s="175">
        <f>I39</f>
        <v>70447.460000000006</v>
      </c>
      <c r="J38" s="175">
        <f t="shared" si="4"/>
        <v>100</v>
      </c>
    </row>
    <row r="39" spans="1:10">
      <c r="A39" s="133" t="s">
        <v>272</v>
      </c>
      <c r="B39" s="132" t="s">
        <v>358</v>
      </c>
      <c r="C39" s="132" t="s">
        <v>69</v>
      </c>
      <c r="D39" s="132" t="s">
        <v>86</v>
      </c>
      <c r="E39" s="132" t="s">
        <v>188</v>
      </c>
      <c r="F39" s="132"/>
      <c r="G39" s="158">
        <f>G40+G55+G58+G62</f>
        <v>70447.460000000006</v>
      </c>
      <c r="H39" s="158">
        <f>H40+H55+H58+H62</f>
        <v>51419.311310000005</v>
      </c>
      <c r="I39" s="158">
        <f>I40+I55+I58+I62</f>
        <v>70447.460000000006</v>
      </c>
      <c r="J39" s="158">
        <f t="shared" si="4"/>
        <v>100</v>
      </c>
    </row>
    <row r="40" spans="1:10">
      <c r="A40" s="150" t="s">
        <v>425</v>
      </c>
      <c r="B40" s="148" t="s">
        <v>358</v>
      </c>
      <c r="C40" s="148" t="s">
        <v>69</v>
      </c>
      <c r="D40" s="148" t="s">
        <v>86</v>
      </c>
      <c r="E40" s="148" t="s">
        <v>188</v>
      </c>
      <c r="F40" s="140"/>
      <c r="G40" s="178">
        <f>G41+G48</f>
        <v>58432</v>
      </c>
      <c r="H40" s="178">
        <f>H41+H48</f>
        <v>45417.43131</v>
      </c>
      <c r="I40" s="178">
        <f>I41+I48</f>
        <v>58432</v>
      </c>
      <c r="J40" s="178">
        <f t="shared" si="4"/>
        <v>100</v>
      </c>
    </row>
    <row r="41" spans="1:10" ht="24">
      <c r="A41" s="133" t="s">
        <v>466</v>
      </c>
      <c r="B41" s="132" t="s">
        <v>358</v>
      </c>
      <c r="C41" s="132" t="s">
        <v>69</v>
      </c>
      <c r="D41" s="132" t="s">
        <v>86</v>
      </c>
      <c r="E41" s="132" t="s">
        <v>289</v>
      </c>
      <c r="F41" s="132"/>
      <c r="G41" s="158">
        <f>G42+G44+G46</f>
        <v>49264.9</v>
      </c>
      <c r="H41" s="158">
        <f>H42+H44+H46</f>
        <v>39151.975169999998</v>
      </c>
      <c r="I41" s="158">
        <f>I42+I44+I46</f>
        <v>49264.9</v>
      </c>
      <c r="J41" s="158">
        <f t="shared" si="4"/>
        <v>100</v>
      </c>
    </row>
    <row r="42" spans="1:10" ht="36">
      <c r="A42" s="131" t="s">
        <v>72</v>
      </c>
      <c r="B42" s="22" t="s">
        <v>358</v>
      </c>
      <c r="C42" s="22" t="s">
        <v>69</v>
      </c>
      <c r="D42" s="22" t="s">
        <v>86</v>
      </c>
      <c r="E42" s="22" t="s">
        <v>289</v>
      </c>
      <c r="F42" s="22" t="s">
        <v>73</v>
      </c>
      <c r="G42" s="156">
        <f>G43</f>
        <v>37434.9</v>
      </c>
      <c r="H42" s="156">
        <f>H43</f>
        <v>32429.728480000002</v>
      </c>
      <c r="I42" s="156">
        <f>I43</f>
        <v>37434.9</v>
      </c>
      <c r="J42" s="156">
        <f t="shared" si="4"/>
        <v>100</v>
      </c>
    </row>
    <row r="43" spans="1:10">
      <c r="A43" s="131" t="s">
        <v>426</v>
      </c>
      <c r="B43" s="22" t="s">
        <v>358</v>
      </c>
      <c r="C43" s="22" t="s">
        <v>69</v>
      </c>
      <c r="D43" s="22" t="s">
        <v>86</v>
      </c>
      <c r="E43" s="22" t="s">
        <v>289</v>
      </c>
      <c r="F43" s="22" t="s">
        <v>427</v>
      </c>
      <c r="G43" s="156">
        <f>27850+100+8400-618.4+1703.3</f>
        <v>37434.9</v>
      </c>
      <c r="H43" s="156">
        <v>32429.728480000002</v>
      </c>
      <c r="I43" s="156">
        <f>27850+100+8400-618.4+1703.3</f>
        <v>37434.9</v>
      </c>
      <c r="J43" s="156">
        <f t="shared" si="4"/>
        <v>100</v>
      </c>
    </row>
    <row r="44" spans="1:10">
      <c r="A44" s="131" t="s">
        <v>486</v>
      </c>
      <c r="B44" s="22" t="s">
        <v>358</v>
      </c>
      <c r="C44" s="22" t="s">
        <v>69</v>
      </c>
      <c r="D44" s="22" t="s">
        <v>86</v>
      </c>
      <c r="E44" s="22" t="s">
        <v>289</v>
      </c>
      <c r="F44" s="22" t="s">
        <v>77</v>
      </c>
      <c r="G44" s="156">
        <f>G45</f>
        <v>11580</v>
      </c>
      <c r="H44" s="156">
        <f>H45</f>
        <v>6708.9268599999996</v>
      </c>
      <c r="I44" s="156">
        <f>I45</f>
        <v>11580</v>
      </c>
      <c r="J44" s="156">
        <f t="shared" si="4"/>
        <v>100</v>
      </c>
    </row>
    <row r="45" spans="1:10">
      <c r="A45" s="131" t="s">
        <v>78</v>
      </c>
      <c r="B45" s="22" t="s">
        <v>358</v>
      </c>
      <c r="C45" s="22" t="s">
        <v>69</v>
      </c>
      <c r="D45" s="22" t="s">
        <v>86</v>
      </c>
      <c r="E45" s="22" t="s">
        <v>289</v>
      </c>
      <c r="F45" s="22" t="s">
        <v>79</v>
      </c>
      <c r="G45" s="156">
        <f>8830+1000+900+850</f>
        <v>11580</v>
      </c>
      <c r="H45" s="156">
        <v>6708.9268599999996</v>
      </c>
      <c r="I45" s="156">
        <f>8830+1000+900+850</f>
        <v>11580</v>
      </c>
      <c r="J45" s="156">
        <f t="shared" si="4"/>
        <v>100</v>
      </c>
    </row>
    <row r="46" spans="1:10">
      <c r="A46" s="131" t="s">
        <v>80</v>
      </c>
      <c r="B46" s="22" t="s">
        <v>358</v>
      </c>
      <c r="C46" s="22" t="s">
        <v>69</v>
      </c>
      <c r="D46" s="22" t="s">
        <v>86</v>
      </c>
      <c r="E46" s="22" t="s">
        <v>289</v>
      </c>
      <c r="F46" s="22" t="s">
        <v>81</v>
      </c>
      <c r="G46" s="156">
        <f>G47</f>
        <v>250</v>
      </c>
      <c r="H46" s="156">
        <f>H47</f>
        <v>13.31983</v>
      </c>
      <c r="I46" s="156">
        <f>I47</f>
        <v>250</v>
      </c>
      <c r="J46" s="156">
        <f t="shared" si="4"/>
        <v>100</v>
      </c>
    </row>
    <row r="47" spans="1:10">
      <c r="A47" s="131" t="s">
        <v>445</v>
      </c>
      <c r="B47" s="22" t="s">
        <v>358</v>
      </c>
      <c r="C47" s="22" t="s">
        <v>69</v>
      </c>
      <c r="D47" s="22" t="s">
        <v>86</v>
      </c>
      <c r="E47" s="22" t="s">
        <v>289</v>
      </c>
      <c r="F47" s="22" t="s">
        <v>82</v>
      </c>
      <c r="G47" s="156">
        <v>250</v>
      </c>
      <c r="H47" s="156">
        <v>13.31983</v>
      </c>
      <c r="I47" s="156">
        <v>250</v>
      </c>
      <c r="J47" s="156">
        <f t="shared" si="4"/>
        <v>100</v>
      </c>
    </row>
    <row r="48" spans="1:10">
      <c r="A48" s="133" t="s">
        <v>523</v>
      </c>
      <c r="B48" s="132" t="s">
        <v>358</v>
      </c>
      <c r="C48" s="132" t="s">
        <v>69</v>
      </c>
      <c r="D48" s="132" t="s">
        <v>86</v>
      </c>
      <c r="E48" s="132" t="s">
        <v>294</v>
      </c>
      <c r="F48" s="132"/>
      <c r="G48" s="158">
        <f>G49+G51+G53</f>
        <v>9167.1</v>
      </c>
      <c r="H48" s="158">
        <f>H49+H51+H53</f>
        <v>6265.4561400000002</v>
      </c>
      <c r="I48" s="158">
        <f>I49+I51+I53</f>
        <v>9167.1</v>
      </c>
      <c r="J48" s="158">
        <f t="shared" si="4"/>
        <v>100</v>
      </c>
    </row>
    <row r="49" spans="1:10" ht="36">
      <c r="A49" s="131" t="s">
        <v>72</v>
      </c>
      <c r="B49" s="22" t="s">
        <v>358</v>
      </c>
      <c r="C49" s="22" t="s">
        <v>69</v>
      </c>
      <c r="D49" s="22" t="s">
        <v>86</v>
      </c>
      <c r="E49" s="22" t="s">
        <v>294</v>
      </c>
      <c r="F49" s="22" t="s">
        <v>73</v>
      </c>
      <c r="G49" s="156">
        <f>G50</f>
        <v>8160</v>
      </c>
      <c r="H49" s="156">
        <f>H50</f>
        <v>6000.2560400000002</v>
      </c>
      <c r="I49" s="156">
        <f>I50</f>
        <v>8160</v>
      </c>
      <c r="J49" s="156">
        <f t="shared" si="4"/>
        <v>100</v>
      </c>
    </row>
    <row r="50" spans="1:10">
      <c r="A50" s="131" t="s">
        <v>426</v>
      </c>
      <c r="B50" s="22" t="s">
        <v>358</v>
      </c>
      <c r="C50" s="22" t="s">
        <v>69</v>
      </c>
      <c r="D50" s="22" t="s">
        <v>86</v>
      </c>
      <c r="E50" s="22" t="s">
        <v>294</v>
      </c>
      <c r="F50" s="22" t="s">
        <v>427</v>
      </c>
      <c r="G50" s="156">
        <f>8115-30+15+60</f>
        <v>8160</v>
      </c>
      <c r="H50" s="156">
        <v>6000.2560400000002</v>
      </c>
      <c r="I50" s="156">
        <f>8115-30+15+60</f>
        <v>8160</v>
      </c>
      <c r="J50" s="156">
        <f t="shared" si="4"/>
        <v>100</v>
      </c>
    </row>
    <row r="51" spans="1:10">
      <c r="A51" s="131" t="s">
        <v>486</v>
      </c>
      <c r="B51" s="22" t="s">
        <v>358</v>
      </c>
      <c r="C51" s="22" t="s">
        <v>69</v>
      </c>
      <c r="D51" s="22" t="s">
        <v>86</v>
      </c>
      <c r="E51" s="22" t="s">
        <v>294</v>
      </c>
      <c r="F51" s="22" t="s">
        <v>77</v>
      </c>
      <c r="G51" s="156">
        <f>G52</f>
        <v>992.1</v>
      </c>
      <c r="H51" s="156">
        <f>H52</f>
        <v>265.20010000000002</v>
      </c>
      <c r="I51" s="156">
        <f>I52</f>
        <v>992.1</v>
      </c>
      <c r="J51" s="156">
        <f t="shared" si="4"/>
        <v>100</v>
      </c>
    </row>
    <row r="52" spans="1:10">
      <c r="A52" s="131" t="s">
        <v>78</v>
      </c>
      <c r="B52" s="22" t="s">
        <v>358</v>
      </c>
      <c r="C52" s="22" t="s">
        <v>69</v>
      </c>
      <c r="D52" s="22" t="s">
        <v>86</v>
      </c>
      <c r="E52" s="22" t="s">
        <v>294</v>
      </c>
      <c r="F52" s="22" t="s">
        <v>79</v>
      </c>
      <c r="G52" s="156">
        <f>315+330+347.1</f>
        <v>992.1</v>
      </c>
      <c r="H52" s="156">
        <v>265.20010000000002</v>
      </c>
      <c r="I52" s="156">
        <f>315+330+347.1</f>
        <v>992.1</v>
      </c>
      <c r="J52" s="156">
        <f t="shared" si="4"/>
        <v>100</v>
      </c>
    </row>
    <row r="53" spans="1:10">
      <c r="A53" s="131" t="s">
        <v>80</v>
      </c>
      <c r="B53" s="22" t="s">
        <v>358</v>
      </c>
      <c r="C53" s="22" t="s">
        <v>69</v>
      </c>
      <c r="D53" s="22" t="s">
        <v>86</v>
      </c>
      <c r="E53" s="22" t="s">
        <v>294</v>
      </c>
      <c r="F53" s="22" t="s">
        <v>81</v>
      </c>
      <c r="G53" s="156">
        <f>G54</f>
        <v>15</v>
      </c>
      <c r="H53" s="323">
        <f>H54</f>
        <v>0</v>
      </c>
      <c r="I53" s="156">
        <f>I54</f>
        <v>15</v>
      </c>
      <c r="J53" s="156">
        <f t="shared" si="4"/>
        <v>100</v>
      </c>
    </row>
    <row r="54" spans="1:10">
      <c r="A54" s="131" t="s">
        <v>445</v>
      </c>
      <c r="B54" s="22" t="s">
        <v>358</v>
      </c>
      <c r="C54" s="22" t="s">
        <v>69</v>
      </c>
      <c r="D54" s="22" t="s">
        <v>86</v>
      </c>
      <c r="E54" s="22" t="s">
        <v>294</v>
      </c>
      <c r="F54" s="22" t="s">
        <v>82</v>
      </c>
      <c r="G54" s="156">
        <v>15</v>
      </c>
      <c r="H54" s="323">
        <v>0</v>
      </c>
      <c r="I54" s="156">
        <v>15</v>
      </c>
      <c r="J54" s="156">
        <f t="shared" si="4"/>
        <v>100</v>
      </c>
    </row>
    <row r="55" spans="1:10" ht="24">
      <c r="A55" s="133" t="s">
        <v>116</v>
      </c>
      <c r="B55" s="132" t="s">
        <v>358</v>
      </c>
      <c r="C55" s="132" t="s">
        <v>69</v>
      </c>
      <c r="D55" s="132" t="s">
        <v>86</v>
      </c>
      <c r="E55" s="132" t="s">
        <v>524</v>
      </c>
      <c r="F55" s="132"/>
      <c r="G55" s="158">
        <f t="shared" ref="G55:I56" si="12">G56</f>
        <v>4000</v>
      </c>
      <c r="H55" s="158">
        <f t="shared" si="12"/>
        <v>4000</v>
      </c>
      <c r="I55" s="158">
        <f t="shared" si="12"/>
        <v>4000</v>
      </c>
      <c r="J55" s="158">
        <f t="shared" si="4"/>
        <v>100</v>
      </c>
    </row>
    <row r="56" spans="1:10">
      <c r="A56" s="131" t="s">
        <v>80</v>
      </c>
      <c r="B56" s="22" t="s">
        <v>358</v>
      </c>
      <c r="C56" s="22" t="s">
        <v>69</v>
      </c>
      <c r="D56" s="22" t="s">
        <v>86</v>
      </c>
      <c r="E56" s="22" t="s">
        <v>524</v>
      </c>
      <c r="F56" s="22" t="s">
        <v>81</v>
      </c>
      <c r="G56" s="156">
        <f t="shared" si="12"/>
        <v>4000</v>
      </c>
      <c r="H56" s="156">
        <f t="shared" si="12"/>
        <v>4000</v>
      </c>
      <c r="I56" s="156">
        <f t="shared" si="12"/>
        <v>4000</v>
      </c>
      <c r="J56" s="156">
        <f t="shared" si="4"/>
        <v>100</v>
      </c>
    </row>
    <row r="57" spans="1:10">
      <c r="A57" s="131" t="s">
        <v>445</v>
      </c>
      <c r="B57" s="22" t="s">
        <v>358</v>
      </c>
      <c r="C57" s="22" t="s">
        <v>69</v>
      </c>
      <c r="D57" s="22" t="s">
        <v>86</v>
      </c>
      <c r="E57" s="22" t="s">
        <v>524</v>
      </c>
      <c r="F57" s="22" t="s">
        <v>82</v>
      </c>
      <c r="G57" s="156">
        <f>4000</f>
        <v>4000</v>
      </c>
      <c r="H57" s="156">
        <v>4000</v>
      </c>
      <c r="I57" s="156">
        <f>4000</f>
        <v>4000</v>
      </c>
      <c r="J57" s="156">
        <f t="shared" si="4"/>
        <v>100</v>
      </c>
    </row>
    <row r="58" spans="1:10">
      <c r="A58" s="133" t="s">
        <v>286</v>
      </c>
      <c r="B58" s="132" t="s">
        <v>358</v>
      </c>
      <c r="C58" s="132" t="s">
        <v>69</v>
      </c>
      <c r="D58" s="132" t="s">
        <v>86</v>
      </c>
      <c r="E58" s="210" t="s">
        <v>525</v>
      </c>
      <c r="F58" s="132"/>
      <c r="G58" s="158">
        <f>G59</f>
        <v>2030</v>
      </c>
      <c r="H58" s="158">
        <f>H59</f>
        <v>1207.5160000000001</v>
      </c>
      <c r="I58" s="158">
        <f>I59</f>
        <v>2030</v>
      </c>
      <c r="J58" s="158">
        <f t="shared" si="4"/>
        <v>100</v>
      </c>
    </row>
    <row r="59" spans="1:10">
      <c r="A59" s="131" t="s">
        <v>80</v>
      </c>
      <c r="B59" s="22" t="s">
        <v>358</v>
      </c>
      <c r="C59" s="22" t="s">
        <v>69</v>
      </c>
      <c r="D59" s="22" t="s">
        <v>86</v>
      </c>
      <c r="E59" s="211" t="s">
        <v>525</v>
      </c>
      <c r="F59" s="22" t="s">
        <v>81</v>
      </c>
      <c r="G59" s="156">
        <f>G60+G61</f>
        <v>2030</v>
      </c>
      <c r="H59" s="156">
        <f>H60+H61</f>
        <v>1207.5160000000001</v>
      </c>
      <c r="I59" s="156">
        <f>I60+I61</f>
        <v>2030</v>
      </c>
      <c r="J59" s="156">
        <f t="shared" si="4"/>
        <v>100</v>
      </c>
    </row>
    <row r="60" spans="1:10">
      <c r="A60" s="131" t="s">
        <v>133</v>
      </c>
      <c r="B60" s="22" t="s">
        <v>358</v>
      </c>
      <c r="C60" s="22" t="s">
        <v>69</v>
      </c>
      <c r="D60" s="22" t="s">
        <v>86</v>
      </c>
      <c r="E60" s="211" t="s">
        <v>525</v>
      </c>
      <c r="F60" s="22" t="s">
        <v>136</v>
      </c>
      <c r="G60" s="156">
        <f>1950+30</f>
        <v>1980</v>
      </c>
      <c r="H60" s="156">
        <v>1207.5160000000001</v>
      </c>
      <c r="I60" s="156">
        <f>1950+30</f>
        <v>1980</v>
      </c>
      <c r="J60" s="156">
        <f t="shared" si="4"/>
        <v>100</v>
      </c>
    </row>
    <row r="61" spans="1:10">
      <c r="A61" s="131" t="s">
        <v>445</v>
      </c>
      <c r="B61" s="22" t="s">
        <v>358</v>
      </c>
      <c r="C61" s="22" t="s">
        <v>69</v>
      </c>
      <c r="D61" s="22" t="s">
        <v>86</v>
      </c>
      <c r="E61" s="211" t="s">
        <v>525</v>
      </c>
      <c r="F61" s="22" t="s">
        <v>82</v>
      </c>
      <c r="G61" s="156">
        <v>50</v>
      </c>
      <c r="H61" s="323">
        <v>0</v>
      </c>
      <c r="I61" s="156">
        <v>50</v>
      </c>
      <c r="J61" s="156">
        <f t="shared" si="4"/>
        <v>100</v>
      </c>
    </row>
    <row r="62" spans="1:10">
      <c r="A62" s="133" t="s">
        <v>762</v>
      </c>
      <c r="B62" s="132" t="s">
        <v>358</v>
      </c>
      <c r="C62" s="132" t="s">
        <v>69</v>
      </c>
      <c r="D62" s="132" t="s">
        <v>86</v>
      </c>
      <c r="E62" s="210" t="s">
        <v>763</v>
      </c>
      <c r="F62" s="132"/>
      <c r="G62" s="158">
        <f t="shared" ref="G62:I63" si="13">G63</f>
        <v>5985.46</v>
      </c>
      <c r="H62" s="158">
        <f t="shared" si="13"/>
        <v>794.36400000000003</v>
      </c>
      <c r="I62" s="158">
        <f t="shared" si="13"/>
        <v>5985.46</v>
      </c>
      <c r="J62" s="158">
        <f t="shared" si="4"/>
        <v>100</v>
      </c>
    </row>
    <row r="63" spans="1:10">
      <c r="A63" s="131" t="s">
        <v>486</v>
      </c>
      <c r="B63" s="22" t="s">
        <v>358</v>
      </c>
      <c r="C63" s="22" t="s">
        <v>69</v>
      </c>
      <c r="D63" s="22" t="s">
        <v>86</v>
      </c>
      <c r="E63" s="211" t="s">
        <v>763</v>
      </c>
      <c r="F63" s="22" t="s">
        <v>77</v>
      </c>
      <c r="G63" s="156">
        <f t="shared" si="13"/>
        <v>5985.46</v>
      </c>
      <c r="H63" s="156">
        <f t="shared" si="13"/>
        <v>794.36400000000003</v>
      </c>
      <c r="I63" s="156">
        <f t="shared" si="13"/>
        <v>5985.46</v>
      </c>
      <c r="J63" s="156">
        <f t="shared" si="4"/>
        <v>100</v>
      </c>
    </row>
    <row r="64" spans="1:10">
      <c r="A64" s="131" t="s">
        <v>78</v>
      </c>
      <c r="B64" s="22" t="s">
        <v>358</v>
      </c>
      <c r="C64" s="22" t="s">
        <v>69</v>
      </c>
      <c r="D64" s="22" t="s">
        <v>86</v>
      </c>
      <c r="E64" s="211" t="s">
        <v>763</v>
      </c>
      <c r="F64" s="22" t="s">
        <v>79</v>
      </c>
      <c r="G64" s="156">
        <v>5985.46</v>
      </c>
      <c r="H64" s="156">
        <v>794.36400000000003</v>
      </c>
      <c r="I64" s="156">
        <v>5985.46</v>
      </c>
      <c r="J64" s="156">
        <f t="shared" si="4"/>
        <v>100</v>
      </c>
    </row>
    <row r="65" spans="1:10" ht="13.5">
      <c r="A65" s="174" t="s">
        <v>526</v>
      </c>
      <c r="B65" s="144" t="s">
        <v>358</v>
      </c>
      <c r="C65" s="144" t="s">
        <v>69</v>
      </c>
      <c r="D65" s="144" t="s">
        <v>86</v>
      </c>
      <c r="E65" s="225" t="s">
        <v>191</v>
      </c>
      <c r="F65" s="226"/>
      <c r="G65" s="218">
        <f>G66+G88</f>
        <v>41333</v>
      </c>
      <c r="H65" s="218">
        <f>H66+H88</f>
        <v>26914.68175</v>
      </c>
      <c r="I65" s="218">
        <f>I66+I88</f>
        <v>40895.199999999997</v>
      </c>
      <c r="J65" s="218">
        <f t="shared" si="4"/>
        <v>98.940797909660546</v>
      </c>
    </row>
    <row r="66" spans="1:10" ht="27">
      <c r="A66" s="227" t="s">
        <v>53</v>
      </c>
      <c r="B66" s="144" t="s">
        <v>358</v>
      </c>
      <c r="C66" s="144" t="s">
        <v>69</v>
      </c>
      <c r="D66" s="144" t="s">
        <v>86</v>
      </c>
      <c r="E66" s="228" t="s">
        <v>152</v>
      </c>
      <c r="F66" s="226"/>
      <c r="G66" s="218">
        <f>G67+G70+G73+G76+G79+G82+G85</f>
        <v>39583</v>
      </c>
      <c r="H66" s="218">
        <f>H67+H70+H73+H76+H79+H82+H85</f>
        <v>26806.494749999998</v>
      </c>
      <c r="I66" s="218">
        <f>I67+I70+I73+I76+I79+I82+I85</f>
        <v>39145.199999999997</v>
      </c>
      <c r="J66" s="218">
        <f t="shared" si="4"/>
        <v>98.893969633428483</v>
      </c>
    </row>
    <row r="67" spans="1:10">
      <c r="A67" s="229" t="s">
        <v>527</v>
      </c>
      <c r="B67" s="132" t="s">
        <v>358</v>
      </c>
      <c r="C67" s="132" t="s">
        <v>69</v>
      </c>
      <c r="D67" s="132" t="s">
        <v>86</v>
      </c>
      <c r="E67" s="210" t="s">
        <v>528</v>
      </c>
      <c r="F67" s="230"/>
      <c r="G67" s="158">
        <f t="shared" ref="G67:I68" si="14">G68</f>
        <v>2210</v>
      </c>
      <c r="H67" s="158">
        <f t="shared" si="14"/>
        <v>923.52499999999998</v>
      </c>
      <c r="I67" s="158">
        <f t="shared" si="14"/>
        <v>1772.2</v>
      </c>
      <c r="J67" s="158">
        <f t="shared" si="4"/>
        <v>80.190045248868785</v>
      </c>
    </row>
    <row r="68" spans="1:10">
      <c r="A68" s="131" t="s">
        <v>486</v>
      </c>
      <c r="B68" s="22" t="s">
        <v>358</v>
      </c>
      <c r="C68" s="22" t="s">
        <v>69</v>
      </c>
      <c r="D68" s="22" t="s">
        <v>86</v>
      </c>
      <c r="E68" s="211" t="s">
        <v>528</v>
      </c>
      <c r="F68" s="145">
        <v>200</v>
      </c>
      <c r="G68" s="156">
        <f t="shared" si="14"/>
        <v>2210</v>
      </c>
      <c r="H68" s="156">
        <f t="shared" si="14"/>
        <v>923.52499999999998</v>
      </c>
      <c r="I68" s="156">
        <f t="shared" si="14"/>
        <v>1772.2</v>
      </c>
      <c r="J68" s="156">
        <f t="shared" si="4"/>
        <v>80.190045248868785</v>
      </c>
    </row>
    <row r="69" spans="1:10">
      <c r="A69" s="131" t="s">
        <v>78</v>
      </c>
      <c r="B69" s="22" t="s">
        <v>358</v>
      </c>
      <c r="C69" s="22" t="s">
        <v>69</v>
      </c>
      <c r="D69" s="22" t="s">
        <v>86</v>
      </c>
      <c r="E69" s="211" t="s">
        <v>528</v>
      </c>
      <c r="F69" s="145">
        <v>240</v>
      </c>
      <c r="G69" s="156">
        <f>2300-700+610</f>
        <v>2210</v>
      </c>
      <c r="H69" s="156">
        <v>923.52499999999998</v>
      </c>
      <c r="I69" s="156">
        <f>2300-700+610-437.8</f>
        <v>1772.2</v>
      </c>
      <c r="J69" s="156">
        <f t="shared" si="4"/>
        <v>80.190045248868785</v>
      </c>
    </row>
    <row r="70" spans="1:10" ht="24">
      <c r="A70" s="229" t="s">
        <v>529</v>
      </c>
      <c r="B70" s="132" t="s">
        <v>358</v>
      </c>
      <c r="C70" s="132" t="s">
        <v>69</v>
      </c>
      <c r="D70" s="132" t="s">
        <v>86</v>
      </c>
      <c r="E70" s="210" t="s">
        <v>530</v>
      </c>
      <c r="F70" s="145"/>
      <c r="G70" s="158">
        <f t="shared" ref="G70:I71" si="15">G71</f>
        <v>900</v>
      </c>
      <c r="H70" s="158">
        <f t="shared" si="15"/>
        <v>484.68875000000003</v>
      </c>
      <c r="I70" s="158">
        <f t="shared" si="15"/>
        <v>900</v>
      </c>
      <c r="J70" s="158">
        <f t="shared" si="4"/>
        <v>100</v>
      </c>
    </row>
    <row r="71" spans="1:10">
      <c r="A71" s="131" t="s">
        <v>486</v>
      </c>
      <c r="B71" s="22" t="s">
        <v>358</v>
      </c>
      <c r="C71" s="22" t="s">
        <v>69</v>
      </c>
      <c r="D71" s="22" t="s">
        <v>86</v>
      </c>
      <c r="E71" s="211" t="s">
        <v>530</v>
      </c>
      <c r="F71" s="145">
        <v>200</v>
      </c>
      <c r="G71" s="156">
        <f t="shared" si="15"/>
        <v>900</v>
      </c>
      <c r="H71" s="156">
        <f t="shared" si="15"/>
        <v>484.68875000000003</v>
      </c>
      <c r="I71" s="156">
        <f t="shared" si="15"/>
        <v>900</v>
      </c>
      <c r="J71" s="156">
        <f t="shared" si="4"/>
        <v>100</v>
      </c>
    </row>
    <row r="72" spans="1:10">
      <c r="A72" s="131" t="s">
        <v>78</v>
      </c>
      <c r="B72" s="22" t="s">
        <v>358</v>
      </c>
      <c r="C72" s="22" t="s">
        <v>69</v>
      </c>
      <c r="D72" s="22" t="s">
        <v>86</v>
      </c>
      <c r="E72" s="211" t="s">
        <v>530</v>
      </c>
      <c r="F72" s="145">
        <v>240</v>
      </c>
      <c r="G72" s="156">
        <v>900</v>
      </c>
      <c r="H72" s="156">
        <v>484.68875000000003</v>
      </c>
      <c r="I72" s="156">
        <v>900</v>
      </c>
      <c r="J72" s="156">
        <f t="shared" si="4"/>
        <v>100</v>
      </c>
    </row>
    <row r="73" spans="1:10" ht="24">
      <c r="A73" s="229" t="s">
        <v>532</v>
      </c>
      <c r="B73" s="132" t="s">
        <v>358</v>
      </c>
      <c r="C73" s="132" t="s">
        <v>69</v>
      </c>
      <c r="D73" s="132" t="s">
        <v>86</v>
      </c>
      <c r="E73" s="210" t="s">
        <v>531</v>
      </c>
      <c r="F73" s="145"/>
      <c r="G73" s="158">
        <f t="shared" ref="G73:I74" si="16">G74</f>
        <v>4160</v>
      </c>
      <c r="H73" s="158">
        <f t="shared" si="16"/>
        <v>2878.1370000000002</v>
      </c>
      <c r="I73" s="158">
        <f t="shared" si="16"/>
        <v>4160</v>
      </c>
      <c r="J73" s="158">
        <f t="shared" si="4"/>
        <v>100</v>
      </c>
    </row>
    <row r="74" spans="1:10">
      <c r="A74" s="131" t="s">
        <v>486</v>
      </c>
      <c r="B74" s="22" t="s">
        <v>358</v>
      </c>
      <c r="C74" s="22" t="s">
        <v>69</v>
      </c>
      <c r="D74" s="22" t="s">
        <v>86</v>
      </c>
      <c r="E74" s="211" t="s">
        <v>531</v>
      </c>
      <c r="F74" s="145">
        <v>200</v>
      </c>
      <c r="G74" s="156">
        <f t="shared" si="16"/>
        <v>4160</v>
      </c>
      <c r="H74" s="156">
        <f t="shared" si="16"/>
        <v>2878.1370000000002</v>
      </c>
      <c r="I74" s="156">
        <f t="shared" si="16"/>
        <v>4160</v>
      </c>
      <c r="J74" s="156">
        <f t="shared" si="4"/>
        <v>100</v>
      </c>
    </row>
    <row r="75" spans="1:10">
      <c r="A75" s="131" t="s">
        <v>78</v>
      </c>
      <c r="B75" s="22" t="s">
        <v>358</v>
      </c>
      <c r="C75" s="22" t="s">
        <v>69</v>
      </c>
      <c r="D75" s="22" t="s">
        <v>86</v>
      </c>
      <c r="E75" s="211" t="s">
        <v>531</v>
      </c>
      <c r="F75" s="145">
        <v>240</v>
      </c>
      <c r="G75" s="156">
        <v>4160</v>
      </c>
      <c r="H75" s="156">
        <v>2878.1370000000002</v>
      </c>
      <c r="I75" s="156">
        <v>4160</v>
      </c>
      <c r="J75" s="156">
        <f t="shared" ref="J75:J135" si="17">I75/G75*100</f>
        <v>100</v>
      </c>
    </row>
    <row r="76" spans="1:10" ht="24">
      <c r="A76" s="229" t="s">
        <v>533</v>
      </c>
      <c r="B76" s="132" t="s">
        <v>358</v>
      </c>
      <c r="C76" s="132" t="s">
        <v>69</v>
      </c>
      <c r="D76" s="132" t="s">
        <v>86</v>
      </c>
      <c r="E76" s="210" t="s">
        <v>534</v>
      </c>
      <c r="F76" s="145"/>
      <c r="G76" s="158">
        <f t="shared" ref="G76:I77" si="18">G77</f>
        <v>2431</v>
      </c>
      <c r="H76" s="158">
        <f t="shared" si="18"/>
        <v>1822.9949999999999</v>
      </c>
      <c r="I76" s="158">
        <f t="shared" si="18"/>
        <v>2431</v>
      </c>
      <c r="J76" s="158">
        <f t="shared" si="17"/>
        <v>100</v>
      </c>
    </row>
    <row r="77" spans="1:10">
      <c r="A77" s="131" t="s">
        <v>486</v>
      </c>
      <c r="B77" s="22" t="s">
        <v>358</v>
      </c>
      <c r="C77" s="22" t="s">
        <v>69</v>
      </c>
      <c r="D77" s="22" t="s">
        <v>86</v>
      </c>
      <c r="E77" s="211" t="s">
        <v>534</v>
      </c>
      <c r="F77" s="145">
        <v>200</v>
      </c>
      <c r="G77" s="156">
        <f t="shared" si="18"/>
        <v>2431</v>
      </c>
      <c r="H77" s="156">
        <f t="shared" si="18"/>
        <v>1822.9949999999999</v>
      </c>
      <c r="I77" s="156">
        <f t="shared" si="18"/>
        <v>2431</v>
      </c>
      <c r="J77" s="156">
        <f t="shared" si="17"/>
        <v>100</v>
      </c>
    </row>
    <row r="78" spans="1:10">
      <c r="A78" s="131" t="s">
        <v>78</v>
      </c>
      <c r="B78" s="22" t="s">
        <v>358</v>
      </c>
      <c r="C78" s="22" t="s">
        <v>69</v>
      </c>
      <c r="D78" s="22" t="s">
        <v>86</v>
      </c>
      <c r="E78" s="211" t="s">
        <v>534</v>
      </c>
      <c r="F78" s="145">
        <v>240</v>
      </c>
      <c r="G78" s="156">
        <v>2431</v>
      </c>
      <c r="H78" s="156">
        <v>1822.9949999999999</v>
      </c>
      <c r="I78" s="156">
        <v>2431</v>
      </c>
      <c r="J78" s="156">
        <f t="shared" si="17"/>
        <v>100</v>
      </c>
    </row>
    <row r="79" spans="1:10">
      <c r="A79" s="229" t="s">
        <v>224</v>
      </c>
      <c r="B79" s="132" t="s">
        <v>358</v>
      </c>
      <c r="C79" s="132" t="s">
        <v>69</v>
      </c>
      <c r="D79" s="132" t="s">
        <v>86</v>
      </c>
      <c r="E79" s="210" t="s">
        <v>535</v>
      </c>
      <c r="F79" s="145"/>
      <c r="G79" s="158">
        <f t="shared" ref="G79:I80" si="19">G80</f>
        <v>2850</v>
      </c>
      <c r="H79" s="158">
        <f t="shared" si="19"/>
        <v>1178.92</v>
      </c>
      <c r="I79" s="158">
        <f t="shared" si="19"/>
        <v>2850</v>
      </c>
      <c r="J79" s="158">
        <f t="shared" si="17"/>
        <v>100</v>
      </c>
    </row>
    <row r="80" spans="1:10">
      <c r="A80" s="131" t="s">
        <v>486</v>
      </c>
      <c r="B80" s="22" t="s">
        <v>358</v>
      </c>
      <c r="C80" s="22" t="s">
        <v>69</v>
      </c>
      <c r="D80" s="22" t="s">
        <v>86</v>
      </c>
      <c r="E80" s="211" t="s">
        <v>535</v>
      </c>
      <c r="F80" s="145">
        <v>200</v>
      </c>
      <c r="G80" s="156">
        <f t="shared" si="19"/>
        <v>2850</v>
      </c>
      <c r="H80" s="156">
        <f t="shared" si="19"/>
        <v>1178.92</v>
      </c>
      <c r="I80" s="156">
        <f t="shared" si="19"/>
        <v>2850</v>
      </c>
      <c r="J80" s="156">
        <f t="shared" si="17"/>
        <v>100</v>
      </c>
    </row>
    <row r="81" spans="1:10">
      <c r="A81" s="131" t="s">
        <v>78</v>
      </c>
      <c r="B81" s="22" t="s">
        <v>358</v>
      </c>
      <c r="C81" s="22" t="s">
        <v>69</v>
      </c>
      <c r="D81" s="22" t="s">
        <v>86</v>
      </c>
      <c r="E81" s="211" t="s">
        <v>535</v>
      </c>
      <c r="F81" s="145">
        <v>240</v>
      </c>
      <c r="G81" s="156">
        <f>2000+700+150</f>
        <v>2850</v>
      </c>
      <c r="H81" s="156">
        <v>1178.92</v>
      </c>
      <c r="I81" s="156">
        <f>2000+700+150</f>
        <v>2850</v>
      </c>
      <c r="J81" s="156">
        <f t="shared" si="17"/>
        <v>100</v>
      </c>
    </row>
    <row r="82" spans="1:10" ht="24">
      <c r="A82" s="229" t="s">
        <v>467</v>
      </c>
      <c r="B82" s="132" t="s">
        <v>358</v>
      </c>
      <c r="C82" s="132" t="s">
        <v>69</v>
      </c>
      <c r="D82" s="132" t="s">
        <v>86</v>
      </c>
      <c r="E82" s="210" t="s">
        <v>536</v>
      </c>
      <c r="F82" s="145"/>
      <c r="G82" s="158">
        <f t="shared" ref="G82:I83" si="20">G83</f>
        <v>8940</v>
      </c>
      <c r="H82" s="158">
        <f t="shared" si="20"/>
        <v>5950</v>
      </c>
      <c r="I82" s="158">
        <f t="shared" si="20"/>
        <v>8940</v>
      </c>
      <c r="J82" s="158">
        <f t="shared" si="17"/>
        <v>100</v>
      </c>
    </row>
    <row r="83" spans="1:10">
      <c r="A83" s="131" t="s">
        <v>486</v>
      </c>
      <c r="B83" s="22" t="s">
        <v>358</v>
      </c>
      <c r="C83" s="22" t="s">
        <v>69</v>
      </c>
      <c r="D83" s="22" t="s">
        <v>86</v>
      </c>
      <c r="E83" s="211" t="s">
        <v>536</v>
      </c>
      <c r="F83" s="145">
        <v>200</v>
      </c>
      <c r="G83" s="156">
        <f t="shared" si="20"/>
        <v>8940</v>
      </c>
      <c r="H83" s="156">
        <f t="shared" si="20"/>
        <v>5950</v>
      </c>
      <c r="I83" s="156">
        <f t="shared" si="20"/>
        <v>8940</v>
      </c>
      <c r="J83" s="156">
        <f t="shared" si="17"/>
        <v>100</v>
      </c>
    </row>
    <row r="84" spans="1:10">
      <c r="A84" s="131" t="s">
        <v>78</v>
      </c>
      <c r="B84" s="22" t="s">
        <v>358</v>
      </c>
      <c r="C84" s="22" t="s">
        <v>69</v>
      </c>
      <c r="D84" s="22" t="s">
        <v>86</v>
      </c>
      <c r="E84" s="211" t="s">
        <v>536</v>
      </c>
      <c r="F84" s="145">
        <v>240</v>
      </c>
      <c r="G84" s="156">
        <f>7140+1800</f>
        <v>8940</v>
      </c>
      <c r="H84" s="156">
        <v>5950</v>
      </c>
      <c r="I84" s="156">
        <f>7140+1800</f>
        <v>8940</v>
      </c>
      <c r="J84" s="156">
        <f t="shared" si="17"/>
        <v>100</v>
      </c>
    </row>
    <row r="85" spans="1:10" ht="24">
      <c r="A85" s="133" t="s">
        <v>468</v>
      </c>
      <c r="B85" s="132" t="s">
        <v>358</v>
      </c>
      <c r="C85" s="132" t="s">
        <v>69</v>
      </c>
      <c r="D85" s="132" t="s">
        <v>86</v>
      </c>
      <c r="E85" s="210" t="s">
        <v>537</v>
      </c>
      <c r="F85" s="145"/>
      <c r="G85" s="158">
        <f t="shared" ref="G85:I86" si="21">G86</f>
        <v>18092</v>
      </c>
      <c r="H85" s="158">
        <f t="shared" si="21"/>
        <v>13568.228999999999</v>
      </c>
      <c r="I85" s="158">
        <f t="shared" si="21"/>
        <v>18092</v>
      </c>
      <c r="J85" s="158">
        <f t="shared" si="17"/>
        <v>100</v>
      </c>
    </row>
    <row r="86" spans="1:10">
      <c r="A86" s="131" t="s">
        <v>486</v>
      </c>
      <c r="B86" s="22" t="s">
        <v>358</v>
      </c>
      <c r="C86" s="22" t="s">
        <v>69</v>
      </c>
      <c r="D86" s="22" t="s">
        <v>86</v>
      </c>
      <c r="E86" s="211" t="s">
        <v>537</v>
      </c>
      <c r="F86" s="145">
        <v>200</v>
      </c>
      <c r="G86" s="156">
        <f t="shared" si="21"/>
        <v>18092</v>
      </c>
      <c r="H86" s="156">
        <f t="shared" si="21"/>
        <v>13568.228999999999</v>
      </c>
      <c r="I86" s="156">
        <f t="shared" si="21"/>
        <v>18092</v>
      </c>
      <c r="J86" s="156">
        <f t="shared" si="17"/>
        <v>100</v>
      </c>
    </row>
    <row r="87" spans="1:10">
      <c r="A87" s="131" t="s">
        <v>78</v>
      </c>
      <c r="B87" s="22" t="s">
        <v>358</v>
      </c>
      <c r="C87" s="22" t="s">
        <v>69</v>
      </c>
      <c r="D87" s="22" t="s">
        <v>86</v>
      </c>
      <c r="E87" s="211" t="s">
        <v>537</v>
      </c>
      <c r="F87" s="145">
        <v>240</v>
      </c>
      <c r="G87" s="156">
        <f>18242-150</f>
        <v>18092</v>
      </c>
      <c r="H87" s="156">
        <v>13568.228999999999</v>
      </c>
      <c r="I87" s="156">
        <f>18242-150</f>
        <v>18092</v>
      </c>
      <c r="J87" s="156">
        <f t="shared" si="17"/>
        <v>100</v>
      </c>
    </row>
    <row r="88" spans="1:10" ht="13.5">
      <c r="A88" s="174" t="s">
        <v>39</v>
      </c>
      <c r="B88" s="144" t="s">
        <v>358</v>
      </c>
      <c r="C88" s="144" t="s">
        <v>69</v>
      </c>
      <c r="D88" s="144" t="s">
        <v>86</v>
      </c>
      <c r="E88" s="228" t="s">
        <v>223</v>
      </c>
      <c r="F88" s="226"/>
      <c r="G88" s="218">
        <f>G89+G92</f>
        <v>1750</v>
      </c>
      <c r="H88" s="218">
        <f t="shared" ref="H88:I88" si="22">H89+H92</f>
        <v>108.18700000000001</v>
      </c>
      <c r="I88" s="218">
        <f t="shared" si="22"/>
        <v>1750</v>
      </c>
      <c r="J88" s="218">
        <f t="shared" si="17"/>
        <v>100</v>
      </c>
    </row>
    <row r="89" spans="1:10">
      <c r="A89" s="133" t="s">
        <v>538</v>
      </c>
      <c r="B89" s="132" t="s">
        <v>358</v>
      </c>
      <c r="C89" s="132" t="s">
        <v>69</v>
      </c>
      <c r="D89" s="132" t="s">
        <v>86</v>
      </c>
      <c r="E89" s="132" t="s">
        <v>469</v>
      </c>
      <c r="F89" s="230"/>
      <c r="G89" s="158">
        <f t="shared" ref="G89:I90" si="23">G90</f>
        <v>150</v>
      </c>
      <c r="H89" s="158">
        <f t="shared" si="23"/>
        <v>37.68</v>
      </c>
      <c r="I89" s="158">
        <f t="shared" si="23"/>
        <v>150</v>
      </c>
      <c r="J89" s="158">
        <f t="shared" si="17"/>
        <v>100</v>
      </c>
    </row>
    <row r="90" spans="1:10">
      <c r="A90" s="131" t="s">
        <v>486</v>
      </c>
      <c r="B90" s="22" t="s">
        <v>358</v>
      </c>
      <c r="C90" s="22" t="s">
        <v>69</v>
      </c>
      <c r="D90" s="22" t="s">
        <v>86</v>
      </c>
      <c r="E90" s="211" t="s">
        <v>469</v>
      </c>
      <c r="F90" s="145">
        <v>200</v>
      </c>
      <c r="G90" s="156">
        <f t="shared" si="23"/>
        <v>150</v>
      </c>
      <c r="H90" s="156">
        <f t="shared" si="23"/>
        <v>37.68</v>
      </c>
      <c r="I90" s="156">
        <f t="shared" si="23"/>
        <v>150</v>
      </c>
      <c r="J90" s="156">
        <f t="shared" si="17"/>
        <v>100</v>
      </c>
    </row>
    <row r="91" spans="1:10">
      <c r="A91" s="131" t="s">
        <v>78</v>
      </c>
      <c r="B91" s="22" t="s">
        <v>358</v>
      </c>
      <c r="C91" s="22" t="s">
        <v>69</v>
      </c>
      <c r="D91" s="22" t="s">
        <v>86</v>
      </c>
      <c r="E91" s="211" t="s">
        <v>469</v>
      </c>
      <c r="F91" s="145">
        <v>240</v>
      </c>
      <c r="G91" s="156">
        <v>150</v>
      </c>
      <c r="H91" s="156">
        <v>37.68</v>
      </c>
      <c r="I91" s="156">
        <v>150</v>
      </c>
      <c r="J91" s="156">
        <f t="shared" si="17"/>
        <v>100</v>
      </c>
    </row>
    <row r="92" spans="1:10">
      <c r="A92" s="133" t="s">
        <v>471</v>
      </c>
      <c r="B92" s="132" t="s">
        <v>358</v>
      </c>
      <c r="C92" s="132" t="s">
        <v>69</v>
      </c>
      <c r="D92" s="132" t="s">
        <v>86</v>
      </c>
      <c r="E92" s="210" t="s">
        <v>470</v>
      </c>
      <c r="F92" s="230"/>
      <c r="G92" s="158">
        <f t="shared" ref="G92:I93" si="24">G93</f>
        <v>1600</v>
      </c>
      <c r="H92" s="158">
        <f t="shared" si="24"/>
        <v>70.507000000000005</v>
      </c>
      <c r="I92" s="158">
        <f t="shared" si="24"/>
        <v>1600</v>
      </c>
      <c r="J92" s="158">
        <f t="shared" si="17"/>
        <v>100</v>
      </c>
    </row>
    <row r="93" spans="1:10">
      <c r="A93" s="131" t="s">
        <v>486</v>
      </c>
      <c r="B93" s="22" t="s">
        <v>358</v>
      </c>
      <c r="C93" s="22" t="s">
        <v>69</v>
      </c>
      <c r="D93" s="22" t="s">
        <v>86</v>
      </c>
      <c r="E93" s="211" t="s">
        <v>470</v>
      </c>
      <c r="F93" s="145">
        <v>200</v>
      </c>
      <c r="G93" s="156">
        <f t="shared" si="24"/>
        <v>1600</v>
      </c>
      <c r="H93" s="156">
        <f t="shared" si="24"/>
        <v>70.507000000000005</v>
      </c>
      <c r="I93" s="156">
        <f t="shared" si="24"/>
        <v>1600</v>
      </c>
      <c r="J93" s="156">
        <f t="shared" si="17"/>
        <v>100</v>
      </c>
    </row>
    <row r="94" spans="1:10">
      <c r="A94" s="131" t="s">
        <v>78</v>
      </c>
      <c r="B94" s="22" t="s">
        <v>358</v>
      </c>
      <c r="C94" s="22" t="s">
        <v>69</v>
      </c>
      <c r="D94" s="22" t="s">
        <v>86</v>
      </c>
      <c r="E94" s="211" t="s">
        <v>470</v>
      </c>
      <c r="F94" s="145">
        <v>240</v>
      </c>
      <c r="G94" s="156">
        <v>1600</v>
      </c>
      <c r="H94" s="156">
        <v>70.507000000000005</v>
      </c>
      <c r="I94" s="156">
        <v>1600</v>
      </c>
      <c r="J94" s="156">
        <f t="shared" si="17"/>
        <v>100</v>
      </c>
    </row>
    <row r="95" spans="1:10" s="209" customFormat="1" ht="24">
      <c r="A95" s="224" t="s">
        <v>539</v>
      </c>
      <c r="B95" s="140" t="s">
        <v>358</v>
      </c>
      <c r="C95" s="140" t="s">
        <v>69</v>
      </c>
      <c r="D95" s="140" t="s">
        <v>86</v>
      </c>
      <c r="E95" s="231" t="s">
        <v>211</v>
      </c>
      <c r="F95" s="146"/>
      <c r="G95" s="175">
        <f t="shared" ref="G95:I98" si="25">G96</f>
        <v>860</v>
      </c>
      <c r="H95" s="175">
        <f t="shared" si="25"/>
        <v>190.8</v>
      </c>
      <c r="I95" s="175">
        <f t="shared" si="25"/>
        <v>860</v>
      </c>
      <c r="J95" s="175">
        <f t="shared" si="17"/>
        <v>100</v>
      </c>
    </row>
    <row r="96" spans="1:10" s="209" customFormat="1" ht="24">
      <c r="A96" s="224" t="s">
        <v>472</v>
      </c>
      <c r="B96" s="140" t="s">
        <v>358</v>
      </c>
      <c r="C96" s="140" t="s">
        <v>69</v>
      </c>
      <c r="D96" s="140" t="s">
        <v>86</v>
      </c>
      <c r="E96" s="231" t="s">
        <v>473</v>
      </c>
      <c r="F96" s="146"/>
      <c r="G96" s="175">
        <f t="shared" si="25"/>
        <v>860</v>
      </c>
      <c r="H96" s="175">
        <f t="shared" si="25"/>
        <v>190.8</v>
      </c>
      <c r="I96" s="175">
        <f t="shared" si="25"/>
        <v>860</v>
      </c>
      <c r="J96" s="175">
        <f t="shared" si="17"/>
        <v>100</v>
      </c>
    </row>
    <row r="97" spans="1:10" s="209" customFormat="1" ht="36">
      <c r="A97" s="133" t="s">
        <v>540</v>
      </c>
      <c r="B97" s="132" t="s">
        <v>358</v>
      </c>
      <c r="C97" s="132" t="s">
        <v>69</v>
      </c>
      <c r="D97" s="132" t="s">
        <v>86</v>
      </c>
      <c r="E97" s="210" t="s">
        <v>541</v>
      </c>
      <c r="F97" s="230"/>
      <c r="G97" s="158">
        <f t="shared" si="25"/>
        <v>860</v>
      </c>
      <c r="H97" s="158">
        <f t="shared" si="25"/>
        <v>190.8</v>
      </c>
      <c r="I97" s="158">
        <f t="shared" si="25"/>
        <v>860</v>
      </c>
      <c r="J97" s="158">
        <f t="shared" si="17"/>
        <v>100</v>
      </c>
    </row>
    <row r="98" spans="1:10" s="209" customFormat="1">
      <c r="A98" s="131" t="s">
        <v>486</v>
      </c>
      <c r="B98" s="22" t="s">
        <v>358</v>
      </c>
      <c r="C98" s="22" t="s">
        <v>69</v>
      </c>
      <c r="D98" s="22" t="s">
        <v>86</v>
      </c>
      <c r="E98" s="211" t="s">
        <v>541</v>
      </c>
      <c r="F98" s="145">
        <v>200</v>
      </c>
      <c r="G98" s="156">
        <f t="shared" si="25"/>
        <v>860</v>
      </c>
      <c r="H98" s="156">
        <f t="shared" si="25"/>
        <v>190.8</v>
      </c>
      <c r="I98" s="156">
        <f t="shared" si="25"/>
        <v>860</v>
      </c>
      <c r="J98" s="156">
        <f t="shared" si="17"/>
        <v>100</v>
      </c>
    </row>
    <row r="99" spans="1:10" s="209" customFormat="1">
      <c r="A99" s="131" t="s">
        <v>78</v>
      </c>
      <c r="B99" s="22" t="s">
        <v>358</v>
      </c>
      <c r="C99" s="22" t="s">
        <v>69</v>
      </c>
      <c r="D99" s="22" t="s">
        <v>86</v>
      </c>
      <c r="E99" s="211" t="s">
        <v>541</v>
      </c>
      <c r="F99" s="145">
        <v>240</v>
      </c>
      <c r="G99" s="156">
        <v>860</v>
      </c>
      <c r="H99" s="156">
        <v>190.8</v>
      </c>
      <c r="I99" s="156">
        <v>860</v>
      </c>
      <c r="J99" s="156">
        <f t="shared" si="17"/>
        <v>100</v>
      </c>
    </row>
    <row r="100" spans="1:10" s="209" customFormat="1">
      <c r="A100" s="133" t="s">
        <v>287</v>
      </c>
      <c r="B100" s="132">
        <v>598</v>
      </c>
      <c r="C100" s="132" t="s">
        <v>423</v>
      </c>
      <c r="D100" s="132" t="s">
        <v>70</v>
      </c>
      <c r="E100" s="132"/>
      <c r="F100" s="132"/>
      <c r="G100" s="158">
        <f t="shared" ref="G100:I102" si="26">G101</f>
        <v>5250</v>
      </c>
      <c r="H100" s="158">
        <f t="shared" si="26"/>
        <v>3434.7066599999998</v>
      </c>
      <c r="I100" s="158">
        <f t="shared" si="26"/>
        <v>5250</v>
      </c>
      <c r="J100" s="158">
        <f t="shared" si="17"/>
        <v>100</v>
      </c>
    </row>
    <row r="101" spans="1:10" ht="36">
      <c r="A101" s="133" t="s">
        <v>542</v>
      </c>
      <c r="B101" s="132" t="s">
        <v>358</v>
      </c>
      <c r="C101" s="132" t="s">
        <v>423</v>
      </c>
      <c r="D101" s="132" t="s">
        <v>446</v>
      </c>
      <c r="E101" s="132"/>
      <c r="F101" s="132"/>
      <c r="G101" s="158">
        <f t="shared" si="26"/>
        <v>5250</v>
      </c>
      <c r="H101" s="158">
        <f t="shared" si="26"/>
        <v>3434.7066599999998</v>
      </c>
      <c r="I101" s="158">
        <f t="shared" si="26"/>
        <v>5250</v>
      </c>
      <c r="J101" s="158">
        <f t="shared" si="17"/>
        <v>100</v>
      </c>
    </row>
    <row r="102" spans="1:10">
      <c r="A102" s="224" t="s">
        <v>396</v>
      </c>
      <c r="B102" s="140">
        <v>598</v>
      </c>
      <c r="C102" s="140" t="s">
        <v>423</v>
      </c>
      <c r="D102" s="140" t="s">
        <v>446</v>
      </c>
      <c r="E102" s="140" t="s">
        <v>187</v>
      </c>
      <c r="F102" s="140"/>
      <c r="G102" s="175">
        <f t="shared" si="26"/>
        <v>5250</v>
      </c>
      <c r="H102" s="175">
        <f t="shared" si="26"/>
        <v>3434.7066599999998</v>
      </c>
      <c r="I102" s="175">
        <f t="shared" si="26"/>
        <v>5250</v>
      </c>
      <c r="J102" s="175">
        <f t="shared" si="17"/>
        <v>100</v>
      </c>
    </row>
    <row r="103" spans="1:10">
      <c r="A103" s="133" t="s">
        <v>272</v>
      </c>
      <c r="B103" s="132">
        <v>598</v>
      </c>
      <c r="C103" s="132" t="s">
        <v>423</v>
      </c>
      <c r="D103" s="132" t="s">
        <v>446</v>
      </c>
      <c r="E103" s="132" t="s">
        <v>188</v>
      </c>
      <c r="F103" s="132"/>
      <c r="G103" s="158">
        <f>G104+G108</f>
        <v>5250</v>
      </c>
      <c r="H103" s="158">
        <f>H104+H108</f>
        <v>3434.7066599999998</v>
      </c>
      <c r="I103" s="158">
        <f>I104+I108</f>
        <v>5250</v>
      </c>
      <c r="J103" s="158">
        <f t="shared" si="17"/>
        <v>100</v>
      </c>
    </row>
    <row r="104" spans="1:10" ht="24">
      <c r="A104" s="133" t="s">
        <v>115</v>
      </c>
      <c r="B104" s="132">
        <v>598</v>
      </c>
      <c r="C104" s="132" t="s">
        <v>423</v>
      </c>
      <c r="D104" s="132" t="s">
        <v>446</v>
      </c>
      <c r="E104" s="132" t="s">
        <v>543</v>
      </c>
      <c r="F104" s="132"/>
      <c r="G104" s="158">
        <f t="shared" ref="G104:I105" si="27">G105</f>
        <v>1000</v>
      </c>
      <c r="H104" s="324">
        <f t="shared" si="27"/>
        <v>0</v>
      </c>
      <c r="I104" s="158">
        <f t="shared" si="27"/>
        <v>1000</v>
      </c>
      <c r="J104" s="158">
        <f t="shared" si="17"/>
        <v>100</v>
      </c>
    </row>
    <row r="105" spans="1:10">
      <c r="A105" s="131" t="s">
        <v>486</v>
      </c>
      <c r="B105" s="22" t="s">
        <v>358</v>
      </c>
      <c r="C105" s="22" t="s">
        <v>423</v>
      </c>
      <c r="D105" s="22" t="s">
        <v>446</v>
      </c>
      <c r="E105" s="22" t="s">
        <v>543</v>
      </c>
      <c r="F105" s="22" t="s">
        <v>77</v>
      </c>
      <c r="G105" s="156">
        <f t="shared" si="27"/>
        <v>1000</v>
      </c>
      <c r="H105" s="323">
        <f t="shared" si="27"/>
        <v>0</v>
      </c>
      <c r="I105" s="156">
        <f t="shared" si="27"/>
        <v>1000</v>
      </c>
      <c r="J105" s="156">
        <f t="shared" si="17"/>
        <v>100</v>
      </c>
    </row>
    <row r="106" spans="1:10">
      <c r="A106" s="131" t="s">
        <v>78</v>
      </c>
      <c r="B106" s="22" t="s">
        <v>358</v>
      </c>
      <c r="C106" s="22" t="s">
        <v>423</v>
      </c>
      <c r="D106" s="22" t="s">
        <v>446</v>
      </c>
      <c r="E106" s="22" t="s">
        <v>543</v>
      </c>
      <c r="F106" s="22" t="s">
        <v>79</v>
      </c>
      <c r="G106" s="156">
        <v>1000</v>
      </c>
      <c r="H106" s="323">
        <v>0</v>
      </c>
      <c r="I106" s="156">
        <v>1000</v>
      </c>
      <c r="J106" s="156">
        <f t="shared" si="17"/>
        <v>100</v>
      </c>
    </row>
    <row r="107" spans="1:10">
      <c r="A107" s="150" t="s">
        <v>425</v>
      </c>
      <c r="B107" s="148" t="s">
        <v>358</v>
      </c>
      <c r="C107" s="148" t="s">
        <v>423</v>
      </c>
      <c r="D107" s="148" t="s">
        <v>446</v>
      </c>
      <c r="E107" s="148" t="s">
        <v>188</v>
      </c>
      <c r="F107" s="148"/>
      <c r="G107" s="178">
        <f>G108</f>
        <v>4250</v>
      </c>
      <c r="H107" s="178">
        <f>H108</f>
        <v>3434.7066599999998</v>
      </c>
      <c r="I107" s="178">
        <f>I108</f>
        <v>4250</v>
      </c>
      <c r="J107" s="178">
        <f t="shared" si="17"/>
        <v>100</v>
      </c>
    </row>
    <row r="108" spans="1:10">
      <c r="A108" s="133" t="s">
        <v>40</v>
      </c>
      <c r="B108" s="132" t="s">
        <v>358</v>
      </c>
      <c r="C108" s="132" t="s">
        <v>423</v>
      </c>
      <c r="D108" s="132" t="s">
        <v>446</v>
      </c>
      <c r="E108" s="132" t="s">
        <v>544</v>
      </c>
      <c r="F108" s="132"/>
      <c r="G108" s="158">
        <f>G109+G111+G113</f>
        <v>4250</v>
      </c>
      <c r="H108" s="158">
        <f>H109+H111+H113</f>
        <v>3434.7066599999998</v>
      </c>
      <c r="I108" s="158">
        <f>I109+I111+I113</f>
        <v>4250</v>
      </c>
      <c r="J108" s="158">
        <f t="shared" si="17"/>
        <v>100</v>
      </c>
    </row>
    <row r="109" spans="1:10" ht="36">
      <c r="A109" s="131" t="s">
        <v>72</v>
      </c>
      <c r="B109" s="22" t="s">
        <v>358</v>
      </c>
      <c r="C109" s="22" t="s">
        <v>423</v>
      </c>
      <c r="D109" s="22" t="s">
        <v>446</v>
      </c>
      <c r="E109" s="22" t="s">
        <v>544</v>
      </c>
      <c r="F109" s="22" t="s">
        <v>73</v>
      </c>
      <c r="G109" s="156">
        <f>G110</f>
        <v>3704</v>
      </c>
      <c r="H109" s="156">
        <f>H110</f>
        <v>3128.0256599999998</v>
      </c>
      <c r="I109" s="156">
        <f>I110</f>
        <v>3704</v>
      </c>
      <c r="J109" s="156">
        <f t="shared" si="17"/>
        <v>100</v>
      </c>
    </row>
    <row r="110" spans="1:10">
      <c r="A110" s="131" t="s">
        <v>426</v>
      </c>
      <c r="B110" s="22" t="s">
        <v>358</v>
      </c>
      <c r="C110" s="22" t="s">
        <v>423</v>
      </c>
      <c r="D110" s="22" t="s">
        <v>446</v>
      </c>
      <c r="E110" s="22" t="s">
        <v>544</v>
      </c>
      <c r="F110" s="22" t="s">
        <v>427</v>
      </c>
      <c r="G110" s="156">
        <f>3624+80</f>
        <v>3704</v>
      </c>
      <c r="H110" s="156">
        <v>3128.0256599999998</v>
      </c>
      <c r="I110" s="156">
        <f>3624+80</f>
        <v>3704</v>
      </c>
      <c r="J110" s="156">
        <f t="shared" si="17"/>
        <v>100</v>
      </c>
    </row>
    <row r="111" spans="1:10">
      <c r="A111" s="131" t="s">
        <v>486</v>
      </c>
      <c r="B111" s="22" t="s">
        <v>358</v>
      </c>
      <c r="C111" s="22" t="s">
        <v>423</v>
      </c>
      <c r="D111" s="22" t="s">
        <v>446</v>
      </c>
      <c r="E111" s="22" t="s">
        <v>544</v>
      </c>
      <c r="F111" s="22" t="s">
        <v>77</v>
      </c>
      <c r="G111" s="156">
        <f>G112</f>
        <v>533</v>
      </c>
      <c r="H111" s="156">
        <f>H112</f>
        <v>306.68099999999998</v>
      </c>
      <c r="I111" s="156">
        <f>I112</f>
        <v>533</v>
      </c>
      <c r="J111" s="156">
        <f t="shared" si="17"/>
        <v>100</v>
      </c>
    </row>
    <row r="112" spans="1:10">
      <c r="A112" s="131" t="s">
        <v>78</v>
      </c>
      <c r="B112" s="22" t="s">
        <v>358</v>
      </c>
      <c r="C112" s="22" t="s">
        <v>423</v>
      </c>
      <c r="D112" s="22" t="s">
        <v>446</v>
      </c>
      <c r="E112" s="22" t="s">
        <v>544</v>
      </c>
      <c r="F112" s="22" t="s">
        <v>79</v>
      </c>
      <c r="G112" s="156">
        <f>613-80</f>
        <v>533</v>
      </c>
      <c r="H112" s="156">
        <v>306.68099999999998</v>
      </c>
      <c r="I112" s="156">
        <f>613-80</f>
        <v>533</v>
      </c>
      <c r="J112" s="156">
        <f t="shared" si="17"/>
        <v>100</v>
      </c>
    </row>
    <row r="113" spans="1:10">
      <c r="A113" s="131" t="s">
        <v>80</v>
      </c>
      <c r="B113" s="22" t="s">
        <v>358</v>
      </c>
      <c r="C113" s="22" t="s">
        <v>423</v>
      </c>
      <c r="D113" s="22" t="s">
        <v>446</v>
      </c>
      <c r="E113" s="22" t="s">
        <v>544</v>
      </c>
      <c r="F113" s="22" t="s">
        <v>81</v>
      </c>
      <c r="G113" s="156">
        <f>G114</f>
        <v>13</v>
      </c>
      <c r="H113" s="323">
        <f>H114</f>
        <v>0</v>
      </c>
      <c r="I113" s="156">
        <f>I114</f>
        <v>13</v>
      </c>
      <c r="J113" s="156">
        <f t="shared" si="17"/>
        <v>100</v>
      </c>
    </row>
    <row r="114" spans="1:10">
      <c r="A114" s="131" t="s">
        <v>445</v>
      </c>
      <c r="B114" s="22" t="s">
        <v>358</v>
      </c>
      <c r="C114" s="22" t="s">
        <v>423</v>
      </c>
      <c r="D114" s="22" t="s">
        <v>446</v>
      </c>
      <c r="E114" s="22" t="s">
        <v>544</v>
      </c>
      <c r="F114" s="22" t="s">
        <v>82</v>
      </c>
      <c r="G114" s="156">
        <v>13</v>
      </c>
      <c r="H114" s="323">
        <v>0</v>
      </c>
      <c r="I114" s="156">
        <v>13</v>
      </c>
      <c r="J114" s="156">
        <f t="shared" si="17"/>
        <v>100</v>
      </c>
    </row>
    <row r="115" spans="1:10">
      <c r="A115" s="133" t="s">
        <v>321</v>
      </c>
      <c r="B115" s="132" t="s">
        <v>358</v>
      </c>
      <c r="C115" s="132" t="s">
        <v>71</v>
      </c>
      <c r="D115" s="132" t="s">
        <v>70</v>
      </c>
      <c r="E115" s="132"/>
      <c r="F115" s="132"/>
      <c r="G115" s="158">
        <f>G122+G116</f>
        <v>11506.122299999999</v>
      </c>
      <c r="H115" s="158">
        <f>H122+H116</f>
        <v>741.72035000000005</v>
      </c>
      <c r="I115" s="158">
        <f>I122+I116</f>
        <v>6915.1223</v>
      </c>
      <c r="J115" s="158">
        <f t="shared" si="17"/>
        <v>60.09950285336356</v>
      </c>
    </row>
    <row r="116" spans="1:10">
      <c r="A116" s="133" t="s">
        <v>746</v>
      </c>
      <c r="B116" s="132" t="s">
        <v>358</v>
      </c>
      <c r="C116" s="132" t="s">
        <v>71</v>
      </c>
      <c r="D116" s="132" t="s">
        <v>69</v>
      </c>
      <c r="E116" s="132"/>
      <c r="F116" s="132"/>
      <c r="G116" s="158">
        <f t="shared" ref="G116:I120" si="28">G117</f>
        <v>506.1223</v>
      </c>
      <c r="H116" s="158">
        <f t="shared" si="28"/>
        <v>332.72035</v>
      </c>
      <c r="I116" s="158">
        <f t="shared" si="28"/>
        <v>506.1223</v>
      </c>
      <c r="J116" s="158">
        <f t="shared" si="17"/>
        <v>100</v>
      </c>
    </row>
    <row r="117" spans="1:10">
      <c r="A117" s="224" t="s">
        <v>396</v>
      </c>
      <c r="B117" s="140">
        <v>598</v>
      </c>
      <c r="C117" s="140" t="s">
        <v>71</v>
      </c>
      <c r="D117" s="140" t="s">
        <v>69</v>
      </c>
      <c r="E117" s="140" t="s">
        <v>187</v>
      </c>
      <c r="F117" s="140"/>
      <c r="G117" s="175">
        <f t="shared" si="28"/>
        <v>506.1223</v>
      </c>
      <c r="H117" s="175">
        <f t="shared" si="28"/>
        <v>332.72035</v>
      </c>
      <c r="I117" s="175">
        <f t="shared" si="28"/>
        <v>506.1223</v>
      </c>
      <c r="J117" s="175">
        <f t="shared" si="17"/>
        <v>100</v>
      </c>
    </row>
    <row r="118" spans="1:10">
      <c r="A118" s="133" t="s">
        <v>272</v>
      </c>
      <c r="B118" s="132">
        <v>598</v>
      </c>
      <c r="C118" s="132" t="s">
        <v>71</v>
      </c>
      <c r="D118" s="132" t="s">
        <v>69</v>
      </c>
      <c r="E118" s="132" t="s">
        <v>188</v>
      </c>
      <c r="F118" s="132"/>
      <c r="G118" s="158">
        <f t="shared" si="28"/>
        <v>506.1223</v>
      </c>
      <c r="H118" s="158">
        <f t="shared" si="28"/>
        <v>332.72035</v>
      </c>
      <c r="I118" s="158">
        <f t="shared" si="28"/>
        <v>506.1223</v>
      </c>
      <c r="J118" s="158">
        <f t="shared" si="17"/>
        <v>100</v>
      </c>
    </row>
    <row r="119" spans="1:10">
      <c r="A119" s="133" t="s">
        <v>747</v>
      </c>
      <c r="B119" s="132" t="s">
        <v>358</v>
      </c>
      <c r="C119" s="132" t="s">
        <v>71</v>
      </c>
      <c r="D119" s="132" t="s">
        <v>69</v>
      </c>
      <c r="E119" s="132" t="s">
        <v>748</v>
      </c>
      <c r="F119" s="132"/>
      <c r="G119" s="158">
        <f t="shared" si="28"/>
        <v>506.1223</v>
      </c>
      <c r="H119" s="158">
        <f t="shared" si="28"/>
        <v>332.72035</v>
      </c>
      <c r="I119" s="158">
        <f t="shared" si="28"/>
        <v>506.1223</v>
      </c>
      <c r="J119" s="158">
        <f t="shared" si="17"/>
        <v>100</v>
      </c>
    </row>
    <row r="120" spans="1:10" ht="36">
      <c r="A120" s="131" t="s">
        <v>72</v>
      </c>
      <c r="B120" s="22" t="s">
        <v>358</v>
      </c>
      <c r="C120" s="22" t="s">
        <v>71</v>
      </c>
      <c r="D120" s="22" t="s">
        <v>69</v>
      </c>
      <c r="E120" s="22" t="s">
        <v>748</v>
      </c>
      <c r="F120" s="22" t="s">
        <v>73</v>
      </c>
      <c r="G120" s="156">
        <f t="shared" si="28"/>
        <v>506.1223</v>
      </c>
      <c r="H120" s="156">
        <f t="shared" si="28"/>
        <v>332.72035</v>
      </c>
      <c r="I120" s="156">
        <f t="shared" si="28"/>
        <v>506.1223</v>
      </c>
      <c r="J120" s="156">
        <f t="shared" si="17"/>
        <v>100</v>
      </c>
    </row>
    <row r="121" spans="1:10">
      <c r="A121" s="131" t="s">
        <v>74</v>
      </c>
      <c r="B121" s="22" t="s">
        <v>358</v>
      </c>
      <c r="C121" s="22" t="s">
        <v>71</v>
      </c>
      <c r="D121" s="22" t="s">
        <v>69</v>
      </c>
      <c r="E121" s="22" t="s">
        <v>748</v>
      </c>
      <c r="F121" s="22" t="s">
        <v>75</v>
      </c>
      <c r="G121" s="156">
        <f>190.06768+316.05462</f>
        <v>506.1223</v>
      </c>
      <c r="H121" s="156">
        <v>332.72035</v>
      </c>
      <c r="I121" s="156">
        <f>190.06768+316.05462</f>
        <v>506.1223</v>
      </c>
      <c r="J121" s="156">
        <f t="shared" si="17"/>
        <v>100</v>
      </c>
    </row>
    <row r="122" spans="1:10">
      <c r="A122" s="133" t="s">
        <v>359</v>
      </c>
      <c r="B122" s="132" t="s">
        <v>358</v>
      </c>
      <c r="C122" s="132" t="s">
        <v>71</v>
      </c>
      <c r="D122" s="132" t="s">
        <v>429</v>
      </c>
      <c r="E122" s="211"/>
      <c r="F122" s="22"/>
      <c r="G122" s="158">
        <f>G123+G151</f>
        <v>11000</v>
      </c>
      <c r="H122" s="158">
        <f>H123+H151</f>
        <v>409</v>
      </c>
      <c r="I122" s="158">
        <f>I123+I151</f>
        <v>6409</v>
      </c>
      <c r="J122" s="158">
        <f t="shared" si="17"/>
        <v>58.263636363636365</v>
      </c>
    </row>
    <row r="123" spans="1:10" ht="27">
      <c r="A123" s="227" t="s">
        <v>672</v>
      </c>
      <c r="B123" s="144" t="s">
        <v>358</v>
      </c>
      <c r="C123" s="144" t="s">
        <v>71</v>
      </c>
      <c r="D123" s="144" t="s">
        <v>429</v>
      </c>
      <c r="E123" s="144" t="s">
        <v>192</v>
      </c>
      <c r="F123" s="144"/>
      <c r="G123" s="218">
        <f>G124+G127+G130+G133+G136+G139+G142+G145+G148</f>
        <v>5000</v>
      </c>
      <c r="H123" s="218">
        <f>H124+H127+H130+H133+H136+H139+H142+H145+H148</f>
        <v>409</v>
      </c>
      <c r="I123" s="218">
        <f>I124+I127+I130+I133+I136+I139+I142+I145+I148</f>
        <v>409</v>
      </c>
      <c r="J123" s="218">
        <f t="shared" si="17"/>
        <v>8.18</v>
      </c>
    </row>
    <row r="124" spans="1:10" ht="24">
      <c r="A124" s="135" t="s">
        <v>545</v>
      </c>
      <c r="B124" s="132" t="s">
        <v>358</v>
      </c>
      <c r="C124" s="132" t="s">
        <v>71</v>
      </c>
      <c r="D124" s="132" t="s">
        <v>429</v>
      </c>
      <c r="E124" s="132" t="s">
        <v>546</v>
      </c>
      <c r="F124" s="132"/>
      <c r="G124" s="158">
        <f t="shared" ref="G124:I125" si="29">G125</f>
        <v>1500</v>
      </c>
      <c r="H124" s="324">
        <f t="shared" si="29"/>
        <v>0</v>
      </c>
      <c r="I124" s="324">
        <f t="shared" si="29"/>
        <v>0</v>
      </c>
      <c r="J124" s="324">
        <f t="shared" si="17"/>
        <v>0</v>
      </c>
    </row>
    <row r="125" spans="1:10">
      <c r="A125" s="131" t="s">
        <v>80</v>
      </c>
      <c r="B125" s="22" t="s">
        <v>358</v>
      </c>
      <c r="C125" s="22" t="s">
        <v>71</v>
      </c>
      <c r="D125" s="22" t="s">
        <v>429</v>
      </c>
      <c r="E125" s="22" t="s">
        <v>546</v>
      </c>
      <c r="F125" s="22" t="s">
        <v>81</v>
      </c>
      <c r="G125" s="156">
        <f t="shared" si="29"/>
        <v>1500</v>
      </c>
      <c r="H125" s="323">
        <f t="shared" si="29"/>
        <v>0</v>
      </c>
      <c r="I125" s="323">
        <f t="shared" si="29"/>
        <v>0</v>
      </c>
      <c r="J125" s="323">
        <f t="shared" si="17"/>
        <v>0</v>
      </c>
    </row>
    <row r="126" spans="1:10" ht="24">
      <c r="A126" s="131" t="s">
        <v>485</v>
      </c>
      <c r="B126" s="145">
        <v>598</v>
      </c>
      <c r="C126" s="22" t="s">
        <v>71</v>
      </c>
      <c r="D126" s="22" t="s">
        <v>429</v>
      </c>
      <c r="E126" s="22" t="s">
        <v>546</v>
      </c>
      <c r="F126" s="22" t="s">
        <v>374</v>
      </c>
      <c r="G126" s="156">
        <v>1500</v>
      </c>
      <c r="H126" s="323">
        <v>0</v>
      </c>
      <c r="I126" s="323">
        <v>0</v>
      </c>
      <c r="J126" s="323">
        <f t="shared" si="17"/>
        <v>0</v>
      </c>
    </row>
    <row r="127" spans="1:10" ht="36">
      <c r="A127" s="135" t="s">
        <v>547</v>
      </c>
      <c r="B127" s="132" t="s">
        <v>358</v>
      </c>
      <c r="C127" s="132" t="s">
        <v>71</v>
      </c>
      <c r="D127" s="132" t="s">
        <v>429</v>
      </c>
      <c r="E127" s="132" t="s">
        <v>548</v>
      </c>
      <c r="F127" s="132"/>
      <c r="G127" s="158">
        <f t="shared" ref="G127:I128" si="30">G128</f>
        <v>500</v>
      </c>
      <c r="H127" s="324">
        <f t="shared" si="30"/>
        <v>0</v>
      </c>
      <c r="I127" s="324">
        <f t="shared" si="30"/>
        <v>0</v>
      </c>
      <c r="J127" s="324">
        <f t="shared" si="17"/>
        <v>0</v>
      </c>
    </row>
    <row r="128" spans="1:10">
      <c r="A128" s="131" t="s">
        <v>486</v>
      </c>
      <c r="B128" s="22" t="s">
        <v>358</v>
      </c>
      <c r="C128" s="22" t="s">
        <v>71</v>
      </c>
      <c r="D128" s="22" t="s">
        <v>429</v>
      </c>
      <c r="E128" s="22" t="s">
        <v>548</v>
      </c>
      <c r="F128" s="22" t="s">
        <v>77</v>
      </c>
      <c r="G128" s="156">
        <f t="shared" si="30"/>
        <v>500</v>
      </c>
      <c r="H128" s="323">
        <f t="shared" si="30"/>
        <v>0</v>
      </c>
      <c r="I128" s="323">
        <f t="shared" si="30"/>
        <v>0</v>
      </c>
      <c r="J128" s="323">
        <f t="shared" si="17"/>
        <v>0</v>
      </c>
    </row>
    <row r="129" spans="1:10">
      <c r="A129" s="131" t="s">
        <v>78</v>
      </c>
      <c r="B129" s="145">
        <v>598</v>
      </c>
      <c r="C129" s="22" t="s">
        <v>71</v>
      </c>
      <c r="D129" s="22" t="s">
        <v>429</v>
      </c>
      <c r="E129" s="22" t="s">
        <v>548</v>
      </c>
      <c r="F129" s="22" t="s">
        <v>79</v>
      </c>
      <c r="G129" s="156">
        <v>500</v>
      </c>
      <c r="H129" s="323">
        <v>0</v>
      </c>
      <c r="I129" s="323">
        <v>0</v>
      </c>
      <c r="J129" s="323">
        <f t="shared" si="17"/>
        <v>0</v>
      </c>
    </row>
    <row r="130" spans="1:10" ht="36">
      <c r="A130" s="133" t="s">
        <v>549</v>
      </c>
      <c r="B130" s="132" t="s">
        <v>358</v>
      </c>
      <c r="C130" s="132" t="s">
        <v>71</v>
      </c>
      <c r="D130" s="132" t="s">
        <v>429</v>
      </c>
      <c r="E130" s="132" t="s">
        <v>550</v>
      </c>
      <c r="F130" s="132"/>
      <c r="G130" s="158">
        <f t="shared" ref="G130:I131" si="31">G131</f>
        <v>300</v>
      </c>
      <c r="H130" s="158">
        <f t="shared" si="31"/>
        <v>300</v>
      </c>
      <c r="I130" s="158">
        <f t="shared" si="31"/>
        <v>300</v>
      </c>
      <c r="J130" s="158">
        <f t="shared" si="17"/>
        <v>100</v>
      </c>
    </row>
    <row r="131" spans="1:10">
      <c r="A131" s="131" t="s">
        <v>486</v>
      </c>
      <c r="B131" s="22" t="s">
        <v>358</v>
      </c>
      <c r="C131" s="22" t="s">
        <v>71</v>
      </c>
      <c r="D131" s="22" t="s">
        <v>429</v>
      </c>
      <c r="E131" s="22" t="s">
        <v>550</v>
      </c>
      <c r="F131" s="22" t="s">
        <v>77</v>
      </c>
      <c r="G131" s="156">
        <f t="shared" si="31"/>
        <v>300</v>
      </c>
      <c r="H131" s="156">
        <f t="shared" si="31"/>
        <v>300</v>
      </c>
      <c r="I131" s="156">
        <f t="shared" si="31"/>
        <v>300</v>
      </c>
      <c r="J131" s="156">
        <f t="shared" si="17"/>
        <v>100</v>
      </c>
    </row>
    <row r="132" spans="1:10">
      <c r="A132" s="131" t="s">
        <v>78</v>
      </c>
      <c r="B132" s="145">
        <v>598</v>
      </c>
      <c r="C132" s="22" t="s">
        <v>71</v>
      </c>
      <c r="D132" s="22" t="s">
        <v>429</v>
      </c>
      <c r="E132" s="22" t="s">
        <v>550</v>
      </c>
      <c r="F132" s="22" t="s">
        <v>79</v>
      </c>
      <c r="G132" s="156">
        <v>300</v>
      </c>
      <c r="H132" s="156">
        <v>300</v>
      </c>
      <c r="I132" s="156">
        <v>300</v>
      </c>
      <c r="J132" s="156">
        <f t="shared" si="17"/>
        <v>100</v>
      </c>
    </row>
    <row r="133" spans="1:10" ht="36">
      <c r="A133" s="133" t="s">
        <v>551</v>
      </c>
      <c r="B133" s="132" t="s">
        <v>358</v>
      </c>
      <c r="C133" s="132" t="s">
        <v>71</v>
      </c>
      <c r="D133" s="132" t="s">
        <v>429</v>
      </c>
      <c r="E133" s="132" t="s">
        <v>552</v>
      </c>
      <c r="F133" s="132"/>
      <c r="G133" s="158">
        <f t="shared" ref="G133:I134" si="32">G134</f>
        <v>300</v>
      </c>
      <c r="H133" s="324">
        <f t="shared" si="32"/>
        <v>0</v>
      </c>
      <c r="I133" s="324">
        <f t="shared" si="32"/>
        <v>0</v>
      </c>
      <c r="J133" s="324">
        <f t="shared" si="17"/>
        <v>0</v>
      </c>
    </row>
    <row r="134" spans="1:10">
      <c r="A134" s="131" t="s">
        <v>486</v>
      </c>
      <c r="B134" s="22" t="s">
        <v>358</v>
      </c>
      <c r="C134" s="22" t="s">
        <v>71</v>
      </c>
      <c r="D134" s="22" t="s">
        <v>429</v>
      </c>
      <c r="E134" s="22" t="s">
        <v>552</v>
      </c>
      <c r="F134" s="22" t="s">
        <v>77</v>
      </c>
      <c r="G134" s="156">
        <f t="shared" si="32"/>
        <v>300</v>
      </c>
      <c r="H134" s="323">
        <f t="shared" si="32"/>
        <v>0</v>
      </c>
      <c r="I134" s="323">
        <f t="shared" si="32"/>
        <v>0</v>
      </c>
      <c r="J134" s="323">
        <f t="shared" si="17"/>
        <v>0</v>
      </c>
    </row>
    <row r="135" spans="1:10">
      <c r="A135" s="131" t="s">
        <v>78</v>
      </c>
      <c r="B135" s="145">
        <v>598</v>
      </c>
      <c r="C135" s="22" t="s">
        <v>71</v>
      </c>
      <c r="D135" s="22" t="s">
        <v>429</v>
      </c>
      <c r="E135" s="22" t="s">
        <v>552</v>
      </c>
      <c r="F135" s="22" t="s">
        <v>79</v>
      </c>
      <c r="G135" s="156">
        <v>300</v>
      </c>
      <c r="H135" s="323">
        <v>0</v>
      </c>
      <c r="I135" s="323">
        <v>0</v>
      </c>
      <c r="J135" s="323">
        <f t="shared" si="17"/>
        <v>0</v>
      </c>
    </row>
    <row r="136" spans="1:10" ht="24">
      <c r="A136" s="133" t="s">
        <v>474</v>
      </c>
      <c r="B136" s="132" t="s">
        <v>358</v>
      </c>
      <c r="C136" s="132" t="s">
        <v>71</v>
      </c>
      <c r="D136" s="132" t="s">
        <v>429</v>
      </c>
      <c r="E136" s="132" t="s">
        <v>555</v>
      </c>
      <c r="F136" s="132"/>
      <c r="G136" s="158">
        <f t="shared" ref="G136:I137" si="33">G137</f>
        <v>500</v>
      </c>
      <c r="H136" s="158">
        <f t="shared" si="33"/>
        <v>109</v>
      </c>
      <c r="I136" s="158">
        <f t="shared" si="33"/>
        <v>109</v>
      </c>
      <c r="J136" s="158">
        <f t="shared" ref="J136:J199" si="34">I136/G136*100</f>
        <v>21.8</v>
      </c>
    </row>
    <row r="137" spans="1:10">
      <c r="A137" s="131" t="s">
        <v>486</v>
      </c>
      <c r="B137" s="22" t="s">
        <v>358</v>
      </c>
      <c r="C137" s="22" t="s">
        <v>71</v>
      </c>
      <c r="D137" s="22" t="s">
        <v>429</v>
      </c>
      <c r="E137" s="22" t="s">
        <v>555</v>
      </c>
      <c r="F137" s="22" t="s">
        <v>77</v>
      </c>
      <c r="G137" s="156">
        <f t="shared" si="33"/>
        <v>500</v>
      </c>
      <c r="H137" s="156">
        <f t="shared" si="33"/>
        <v>109</v>
      </c>
      <c r="I137" s="156">
        <f t="shared" si="33"/>
        <v>109</v>
      </c>
      <c r="J137" s="156">
        <f t="shared" si="34"/>
        <v>21.8</v>
      </c>
    </row>
    <row r="138" spans="1:10">
      <c r="A138" s="131" t="s">
        <v>78</v>
      </c>
      <c r="B138" s="145">
        <v>598</v>
      </c>
      <c r="C138" s="22" t="s">
        <v>71</v>
      </c>
      <c r="D138" s="22" t="s">
        <v>429</v>
      </c>
      <c r="E138" s="22" t="s">
        <v>555</v>
      </c>
      <c r="F138" s="22" t="s">
        <v>79</v>
      </c>
      <c r="G138" s="156">
        <v>500</v>
      </c>
      <c r="H138" s="156">
        <v>109</v>
      </c>
      <c r="I138" s="156">
        <v>109</v>
      </c>
      <c r="J138" s="156">
        <f t="shared" si="34"/>
        <v>21.8</v>
      </c>
    </row>
    <row r="139" spans="1:10" ht="36">
      <c r="A139" s="133" t="s">
        <v>557</v>
      </c>
      <c r="B139" s="132" t="s">
        <v>358</v>
      </c>
      <c r="C139" s="132" t="s">
        <v>71</v>
      </c>
      <c r="D139" s="132" t="s">
        <v>429</v>
      </c>
      <c r="E139" s="132" t="s">
        <v>556</v>
      </c>
      <c r="F139" s="132"/>
      <c r="G139" s="158">
        <f t="shared" ref="G139:I140" si="35">G140</f>
        <v>600</v>
      </c>
      <c r="H139" s="324">
        <f t="shared" si="35"/>
        <v>0</v>
      </c>
      <c r="I139" s="324">
        <f t="shared" si="35"/>
        <v>0</v>
      </c>
      <c r="J139" s="324">
        <f t="shared" si="34"/>
        <v>0</v>
      </c>
    </row>
    <row r="140" spans="1:10">
      <c r="A140" s="131" t="s">
        <v>80</v>
      </c>
      <c r="B140" s="22" t="s">
        <v>358</v>
      </c>
      <c r="C140" s="22" t="s">
        <v>71</v>
      </c>
      <c r="D140" s="22" t="s">
        <v>429</v>
      </c>
      <c r="E140" s="22" t="s">
        <v>556</v>
      </c>
      <c r="F140" s="22" t="s">
        <v>81</v>
      </c>
      <c r="G140" s="156">
        <f t="shared" si="35"/>
        <v>600</v>
      </c>
      <c r="H140" s="323">
        <f t="shared" si="35"/>
        <v>0</v>
      </c>
      <c r="I140" s="323">
        <f t="shared" si="35"/>
        <v>0</v>
      </c>
      <c r="J140" s="323">
        <f t="shared" si="34"/>
        <v>0</v>
      </c>
    </row>
    <row r="141" spans="1:10" ht="24">
      <c r="A141" s="131" t="s">
        <v>485</v>
      </c>
      <c r="B141" s="145">
        <v>598</v>
      </c>
      <c r="C141" s="22" t="s">
        <v>71</v>
      </c>
      <c r="D141" s="22" t="s">
        <v>429</v>
      </c>
      <c r="E141" s="22" t="s">
        <v>556</v>
      </c>
      <c r="F141" s="22" t="s">
        <v>374</v>
      </c>
      <c r="G141" s="156">
        <v>600</v>
      </c>
      <c r="H141" s="323">
        <v>0</v>
      </c>
      <c r="I141" s="323">
        <v>0</v>
      </c>
      <c r="J141" s="323">
        <f t="shared" si="34"/>
        <v>0</v>
      </c>
    </row>
    <row r="142" spans="1:10" ht="36">
      <c r="A142" s="133" t="s">
        <v>553</v>
      </c>
      <c r="B142" s="132" t="s">
        <v>358</v>
      </c>
      <c r="C142" s="132" t="s">
        <v>71</v>
      </c>
      <c r="D142" s="132" t="s">
        <v>429</v>
      </c>
      <c r="E142" s="132" t="s">
        <v>554</v>
      </c>
      <c r="F142" s="132"/>
      <c r="G142" s="158">
        <f t="shared" ref="G142:I143" si="36">G143</f>
        <v>500</v>
      </c>
      <c r="H142" s="324">
        <f t="shared" si="36"/>
        <v>0</v>
      </c>
      <c r="I142" s="324">
        <f t="shared" si="36"/>
        <v>0</v>
      </c>
      <c r="J142" s="324">
        <f t="shared" si="34"/>
        <v>0</v>
      </c>
    </row>
    <row r="143" spans="1:10">
      <c r="A143" s="131" t="s">
        <v>486</v>
      </c>
      <c r="B143" s="22" t="s">
        <v>358</v>
      </c>
      <c r="C143" s="22" t="s">
        <v>71</v>
      </c>
      <c r="D143" s="22" t="s">
        <v>429</v>
      </c>
      <c r="E143" s="22" t="s">
        <v>554</v>
      </c>
      <c r="F143" s="22" t="s">
        <v>77</v>
      </c>
      <c r="G143" s="156">
        <f t="shared" si="36"/>
        <v>500</v>
      </c>
      <c r="H143" s="323">
        <f t="shared" si="36"/>
        <v>0</v>
      </c>
      <c r="I143" s="323">
        <f t="shared" si="36"/>
        <v>0</v>
      </c>
      <c r="J143" s="323">
        <f t="shared" si="34"/>
        <v>0</v>
      </c>
    </row>
    <row r="144" spans="1:10">
      <c r="A144" s="131" t="s">
        <v>78</v>
      </c>
      <c r="B144" s="145">
        <v>598</v>
      </c>
      <c r="C144" s="22" t="s">
        <v>71</v>
      </c>
      <c r="D144" s="22" t="s">
        <v>429</v>
      </c>
      <c r="E144" s="22" t="s">
        <v>554</v>
      </c>
      <c r="F144" s="22" t="s">
        <v>79</v>
      </c>
      <c r="G144" s="156">
        <v>500</v>
      </c>
      <c r="H144" s="323">
        <v>0</v>
      </c>
      <c r="I144" s="323">
        <v>0</v>
      </c>
      <c r="J144" s="323">
        <f t="shared" si="34"/>
        <v>0</v>
      </c>
    </row>
    <row r="145" spans="1:10" ht="24">
      <c r="A145" s="133" t="s">
        <v>558</v>
      </c>
      <c r="B145" s="132" t="s">
        <v>358</v>
      </c>
      <c r="C145" s="132" t="s">
        <v>71</v>
      </c>
      <c r="D145" s="132" t="s">
        <v>429</v>
      </c>
      <c r="E145" s="132" t="s">
        <v>559</v>
      </c>
      <c r="F145" s="132"/>
      <c r="G145" s="158">
        <f t="shared" ref="G145:I146" si="37">G146</f>
        <v>500</v>
      </c>
      <c r="H145" s="324">
        <f t="shared" si="37"/>
        <v>0</v>
      </c>
      <c r="I145" s="324">
        <f t="shared" si="37"/>
        <v>0</v>
      </c>
      <c r="J145" s="324">
        <f t="shared" si="34"/>
        <v>0</v>
      </c>
    </row>
    <row r="146" spans="1:10">
      <c r="A146" s="131" t="s">
        <v>486</v>
      </c>
      <c r="B146" s="22" t="s">
        <v>358</v>
      </c>
      <c r="C146" s="22" t="s">
        <v>71</v>
      </c>
      <c r="D146" s="22" t="s">
        <v>429</v>
      </c>
      <c r="E146" s="22" t="s">
        <v>559</v>
      </c>
      <c r="F146" s="22" t="s">
        <v>77</v>
      </c>
      <c r="G146" s="156">
        <f t="shared" si="37"/>
        <v>500</v>
      </c>
      <c r="H146" s="323">
        <f t="shared" si="37"/>
        <v>0</v>
      </c>
      <c r="I146" s="323">
        <f t="shared" si="37"/>
        <v>0</v>
      </c>
      <c r="J146" s="323">
        <f t="shared" si="34"/>
        <v>0</v>
      </c>
    </row>
    <row r="147" spans="1:10">
      <c r="A147" s="131" t="s">
        <v>78</v>
      </c>
      <c r="B147" s="145">
        <v>598</v>
      </c>
      <c r="C147" s="22" t="s">
        <v>71</v>
      </c>
      <c r="D147" s="22" t="s">
        <v>429</v>
      </c>
      <c r="E147" s="22" t="s">
        <v>559</v>
      </c>
      <c r="F147" s="22" t="s">
        <v>79</v>
      </c>
      <c r="G147" s="156">
        <v>500</v>
      </c>
      <c r="H147" s="323">
        <v>0</v>
      </c>
      <c r="I147" s="323">
        <v>0</v>
      </c>
      <c r="J147" s="323">
        <f t="shared" si="34"/>
        <v>0</v>
      </c>
    </row>
    <row r="148" spans="1:10" ht="24">
      <c r="A148" s="133" t="s">
        <v>560</v>
      </c>
      <c r="B148" s="132" t="s">
        <v>358</v>
      </c>
      <c r="C148" s="132" t="s">
        <v>71</v>
      </c>
      <c r="D148" s="132" t="s">
        <v>429</v>
      </c>
      <c r="E148" s="132" t="s">
        <v>561</v>
      </c>
      <c r="F148" s="132"/>
      <c r="G148" s="158">
        <f t="shared" ref="G148:I149" si="38">G149</f>
        <v>300</v>
      </c>
      <c r="H148" s="324">
        <f t="shared" si="38"/>
        <v>0</v>
      </c>
      <c r="I148" s="324">
        <f t="shared" si="38"/>
        <v>0</v>
      </c>
      <c r="J148" s="324">
        <f t="shared" si="34"/>
        <v>0</v>
      </c>
    </row>
    <row r="149" spans="1:10">
      <c r="A149" s="131" t="s">
        <v>486</v>
      </c>
      <c r="B149" s="22" t="s">
        <v>358</v>
      </c>
      <c r="C149" s="22" t="s">
        <v>71</v>
      </c>
      <c r="D149" s="22" t="s">
        <v>429</v>
      </c>
      <c r="E149" s="22" t="s">
        <v>561</v>
      </c>
      <c r="F149" s="22" t="s">
        <v>77</v>
      </c>
      <c r="G149" s="156">
        <f t="shared" si="38"/>
        <v>300</v>
      </c>
      <c r="H149" s="323">
        <f t="shared" si="38"/>
        <v>0</v>
      </c>
      <c r="I149" s="323">
        <f t="shared" si="38"/>
        <v>0</v>
      </c>
      <c r="J149" s="323">
        <f t="shared" si="34"/>
        <v>0</v>
      </c>
    </row>
    <row r="150" spans="1:10">
      <c r="A150" s="131" t="s">
        <v>78</v>
      </c>
      <c r="B150" s="145">
        <v>598</v>
      </c>
      <c r="C150" s="22" t="s">
        <v>71</v>
      </c>
      <c r="D150" s="22" t="s">
        <v>429</v>
      </c>
      <c r="E150" s="22" t="s">
        <v>561</v>
      </c>
      <c r="F150" s="22" t="s">
        <v>79</v>
      </c>
      <c r="G150" s="156">
        <v>300</v>
      </c>
      <c r="H150" s="323">
        <v>0</v>
      </c>
      <c r="I150" s="323">
        <v>0</v>
      </c>
      <c r="J150" s="323">
        <f t="shared" si="34"/>
        <v>0</v>
      </c>
    </row>
    <row r="151" spans="1:10">
      <c r="A151" s="173" t="s">
        <v>67</v>
      </c>
      <c r="B151" s="140" t="s">
        <v>358</v>
      </c>
      <c r="C151" s="140" t="s">
        <v>71</v>
      </c>
      <c r="D151" s="140" t="s">
        <v>429</v>
      </c>
      <c r="E151" s="140" t="s">
        <v>187</v>
      </c>
      <c r="F151" s="140"/>
      <c r="G151" s="175">
        <f t="shared" ref="G151:I154" si="39">G152</f>
        <v>6000</v>
      </c>
      <c r="H151" s="325">
        <f t="shared" si="39"/>
        <v>0</v>
      </c>
      <c r="I151" s="175">
        <f t="shared" si="39"/>
        <v>6000</v>
      </c>
      <c r="J151" s="175">
        <f t="shared" si="34"/>
        <v>100</v>
      </c>
    </row>
    <row r="152" spans="1:10">
      <c r="A152" s="133" t="s">
        <v>272</v>
      </c>
      <c r="B152" s="230">
        <v>598</v>
      </c>
      <c r="C152" s="132" t="s">
        <v>71</v>
      </c>
      <c r="D152" s="132" t="s">
        <v>429</v>
      </c>
      <c r="E152" s="132" t="s">
        <v>188</v>
      </c>
      <c r="F152" s="132"/>
      <c r="G152" s="158">
        <f t="shared" si="39"/>
        <v>6000</v>
      </c>
      <c r="H152" s="324">
        <f t="shared" si="39"/>
        <v>0</v>
      </c>
      <c r="I152" s="158">
        <f t="shared" si="39"/>
        <v>6000</v>
      </c>
      <c r="J152" s="158">
        <f t="shared" si="34"/>
        <v>100</v>
      </c>
    </row>
    <row r="153" spans="1:10">
      <c r="A153" s="133" t="s">
        <v>723</v>
      </c>
      <c r="B153" s="230">
        <v>598</v>
      </c>
      <c r="C153" s="132" t="s">
        <v>71</v>
      </c>
      <c r="D153" s="132" t="s">
        <v>429</v>
      </c>
      <c r="E153" s="132" t="s">
        <v>475</v>
      </c>
      <c r="F153" s="132"/>
      <c r="G153" s="158">
        <f t="shared" si="39"/>
        <v>6000</v>
      </c>
      <c r="H153" s="324">
        <f t="shared" si="39"/>
        <v>0</v>
      </c>
      <c r="I153" s="158">
        <f t="shared" si="39"/>
        <v>6000</v>
      </c>
      <c r="J153" s="158">
        <f t="shared" si="34"/>
        <v>100</v>
      </c>
    </row>
    <row r="154" spans="1:10">
      <c r="A154" s="131" t="s">
        <v>486</v>
      </c>
      <c r="B154" s="22" t="s">
        <v>358</v>
      </c>
      <c r="C154" s="22" t="s">
        <v>71</v>
      </c>
      <c r="D154" s="22" t="s">
        <v>429</v>
      </c>
      <c r="E154" s="22" t="s">
        <v>475</v>
      </c>
      <c r="F154" s="145">
        <v>200</v>
      </c>
      <c r="G154" s="156">
        <f t="shared" si="39"/>
        <v>6000</v>
      </c>
      <c r="H154" s="323">
        <f t="shared" si="39"/>
        <v>0</v>
      </c>
      <c r="I154" s="156">
        <f t="shared" si="39"/>
        <v>6000</v>
      </c>
      <c r="J154" s="156">
        <f t="shared" si="34"/>
        <v>100</v>
      </c>
    </row>
    <row r="155" spans="1:10">
      <c r="A155" s="131" t="s">
        <v>78</v>
      </c>
      <c r="B155" s="145">
        <v>598</v>
      </c>
      <c r="C155" s="22" t="s">
        <v>71</v>
      </c>
      <c r="D155" s="22" t="s">
        <v>429</v>
      </c>
      <c r="E155" s="22" t="s">
        <v>475</v>
      </c>
      <c r="F155" s="22" t="s">
        <v>79</v>
      </c>
      <c r="G155" s="156">
        <f>1000+5000</f>
        <v>6000</v>
      </c>
      <c r="H155" s="323">
        <v>0</v>
      </c>
      <c r="I155" s="156">
        <f>1000+5000</f>
        <v>6000</v>
      </c>
      <c r="J155" s="156">
        <f t="shared" si="34"/>
        <v>100</v>
      </c>
    </row>
    <row r="156" spans="1:10">
      <c r="A156" s="133" t="s">
        <v>360</v>
      </c>
      <c r="B156" s="132">
        <v>598</v>
      </c>
      <c r="C156" s="132" t="s">
        <v>446</v>
      </c>
      <c r="D156" s="132" t="s">
        <v>70</v>
      </c>
      <c r="E156" s="132"/>
      <c r="F156" s="132"/>
      <c r="G156" s="158">
        <f>G157+G163</f>
        <v>56454.991290000005</v>
      </c>
      <c r="H156" s="158">
        <f>H157+H163</f>
        <v>31106.245579999999</v>
      </c>
      <c r="I156" s="158">
        <f>I157+I163</f>
        <v>56454.991290000005</v>
      </c>
      <c r="J156" s="158">
        <f t="shared" si="34"/>
        <v>100</v>
      </c>
    </row>
    <row r="157" spans="1:10">
      <c r="A157" s="133" t="s">
        <v>344</v>
      </c>
      <c r="B157" s="132" t="s">
        <v>358</v>
      </c>
      <c r="C157" s="132" t="s">
        <v>446</v>
      </c>
      <c r="D157" s="132" t="s">
        <v>69</v>
      </c>
      <c r="E157" s="132" t="s">
        <v>187</v>
      </c>
      <c r="F157" s="132"/>
      <c r="G157" s="158">
        <f t="shared" ref="G157:I161" si="40">G158</f>
        <v>22372.899290000001</v>
      </c>
      <c r="H157" s="158">
        <f t="shared" si="40"/>
        <v>18170.515579999999</v>
      </c>
      <c r="I157" s="158">
        <f t="shared" si="40"/>
        <v>22372.899290000001</v>
      </c>
      <c r="J157" s="158">
        <f t="shared" si="34"/>
        <v>100</v>
      </c>
    </row>
    <row r="158" spans="1:10">
      <c r="A158" s="224" t="s">
        <v>396</v>
      </c>
      <c r="B158" s="140">
        <v>598</v>
      </c>
      <c r="C158" s="140" t="s">
        <v>446</v>
      </c>
      <c r="D158" s="140" t="s">
        <v>69</v>
      </c>
      <c r="E158" s="140" t="s">
        <v>187</v>
      </c>
      <c r="F158" s="132"/>
      <c r="G158" s="175">
        <f t="shared" si="40"/>
        <v>22372.899290000001</v>
      </c>
      <c r="H158" s="175">
        <f t="shared" si="40"/>
        <v>18170.515579999999</v>
      </c>
      <c r="I158" s="175">
        <f t="shared" si="40"/>
        <v>22372.899290000001</v>
      </c>
      <c r="J158" s="175">
        <f t="shared" si="34"/>
        <v>100</v>
      </c>
    </row>
    <row r="159" spans="1:10" s="209" customFormat="1">
      <c r="A159" s="133" t="s">
        <v>272</v>
      </c>
      <c r="B159" s="132">
        <v>598</v>
      </c>
      <c r="C159" s="132" t="s">
        <v>446</v>
      </c>
      <c r="D159" s="132" t="s">
        <v>69</v>
      </c>
      <c r="E159" s="132" t="s">
        <v>188</v>
      </c>
      <c r="F159" s="132"/>
      <c r="G159" s="158">
        <f t="shared" si="40"/>
        <v>22372.899290000001</v>
      </c>
      <c r="H159" s="158">
        <f t="shared" si="40"/>
        <v>18170.515579999999</v>
      </c>
      <c r="I159" s="158">
        <f t="shared" si="40"/>
        <v>22372.899290000001</v>
      </c>
      <c r="J159" s="158">
        <f t="shared" si="34"/>
        <v>100</v>
      </c>
    </row>
    <row r="160" spans="1:10" s="209" customFormat="1" ht="24">
      <c r="A160" s="133" t="s">
        <v>355</v>
      </c>
      <c r="B160" s="132" t="s">
        <v>358</v>
      </c>
      <c r="C160" s="132" t="s">
        <v>446</v>
      </c>
      <c r="D160" s="132" t="s">
        <v>69</v>
      </c>
      <c r="E160" s="132" t="s">
        <v>519</v>
      </c>
      <c r="F160" s="132"/>
      <c r="G160" s="158">
        <f t="shared" si="40"/>
        <v>22372.899290000001</v>
      </c>
      <c r="H160" s="158">
        <f t="shared" si="40"/>
        <v>18170.515579999999</v>
      </c>
      <c r="I160" s="158">
        <f t="shared" si="40"/>
        <v>22372.899290000001</v>
      </c>
      <c r="J160" s="158">
        <f t="shared" si="34"/>
        <v>100</v>
      </c>
    </row>
    <row r="161" spans="1:10" s="232" customFormat="1">
      <c r="A161" s="131" t="s">
        <v>88</v>
      </c>
      <c r="B161" s="22" t="s">
        <v>358</v>
      </c>
      <c r="C161" s="22" t="s">
        <v>446</v>
      </c>
      <c r="D161" s="22" t="s">
        <v>69</v>
      </c>
      <c r="E161" s="22" t="s">
        <v>519</v>
      </c>
      <c r="F161" s="22" t="s">
        <v>87</v>
      </c>
      <c r="G161" s="156">
        <f t="shared" si="40"/>
        <v>22372.899290000001</v>
      </c>
      <c r="H161" s="156">
        <f t="shared" si="40"/>
        <v>18170.515579999999</v>
      </c>
      <c r="I161" s="156">
        <f t="shared" si="40"/>
        <v>22372.899290000001</v>
      </c>
      <c r="J161" s="156">
        <f t="shared" si="34"/>
        <v>100</v>
      </c>
    </row>
    <row r="162" spans="1:10" s="232" customFormat="1">
      <c r="A162" s="131" t="s">
        <v>138</v>
      </c>
      <c r="B162" s="22" t="s">
        <v>358</v>
      </c>
      <c r="C162" s="22" t="s">
        <v>446</v>
      </c>
      <c r="D162" s="22" t="s">
        <v>69</v>
      </c>
      <c r="E162" s="22" t="s">
        <v>519</v>
      </c>
      <c r="F162" s="22" t="s">
        <v>449</v>
      </c>
      <c r="G162" s="156">
        <f>19400+2972.89929</f>
        <v>22372.899290000001</v>
      </c>
      <c r="H162" s="156">
        <v>18170.515579999999</v>
      </c>
      <c r="I162" s="156">
        <f>19400+2972.89929</f>
        <v>22372.899290000001</v>
      </c>
      <c r="J162" s="156">
        <f t="shared" si="34"/>
        <v>100</v>
      </c>
    </row>
    <row r="163" spans="1:10" s="208" customFormat="1">
      <c r="A163" s="133" t="s">
        <v>349</v>
      </c>
      <c r="B163" s="132" t="s">
        <v>358</v>
      </c>
      <c r="C163" s="132" t="s">
        <v>446</v>
      </c>
      <c r="D163" s="132" t="s">
        <v>423</v>
      </c>
      <c r="E163" s="132"/>
      <c r="F163" s="132"/>
      <c r="G163" s="158">
        <f>G164+G178</f>
        <v>34082.092000000004</v>
      </c>
      <c r="H163" s="158">
        <f>H164+H178</f>
        <v>12935.73</v>
      </c>
      <c r="I163" s="158">
        <f>I164+I178</f>
        <v>34082.092000000004</v>
      </c>
      <c r="J163" s="158">
        <f t="shared" si="34"/>
        <v>100</v>
      </c>
    </row>
    <row r="164" spans="1:10" s="208" customFormat="1">
      <c r="A164" s="224" t="s">
        <v>396</v>
      </c>
      <c r="B164" s="140">
        <v>598</v>
      </c>
      <c r="C164" s="140" t="s">
        <v>446</v>
      </c>
      <c r="D164" s="140" t="s">
        <v>423</v>
      </c>
      <c r="E164" s="140" t="s">
        <v>187</v>
      </c>
      <c r="F164" s="132"/>
      <c r="G164" s="175">
        <f>G165</f>
        <v>32582.092000000001</v>
      </c>
      <c r="H164" s="175">
        <f>H165</f>
        <v>12165.73</v>
      </c>
      <c r="I164" s="175">
        <f>I165</f>
        <v>32582.092000000001</v>
      </c>
      <c r="J164" s="175">
        <f t="shared" si="34"/>
        <v>100</v>
      </c>
    </row>
    <row r="165" spans="1:10">
      <c r="A165" s="133" t="s">
        <v>272</v>
      </c>
      <c r="B165" s="132">
        <v>598</v>
      </c>
      <c r="C165" s="132" t="s">
        <v>446</v>
      </c>
      <c r="D165" s="132" t="s">
        <v>423</v>
      </c>
      <c r="E165" s="132" t="s">
        <v>188</v>
      </c>
      <c r="F165" s="132"/>
      <c r="G165" s="158">
        <f>G166+G169+G172+G175</f>
        <v>32582.092000000001</v>
      </c>
      <c r="H165" s="158">
        <f>H166+H169+H172+H175</f>
        <v>12165.73</v>
      </c>
      <c r="I165" s="158">
        <f>I166+I169+I172+I175</f>
        <v>32582.092000000001</v>
      </c>
      <c r="J165" s="158">
        <f t="shared" si="34"/>
        <v>100</v>
      </c>
    </row>
    <row r="166" spans="1:10">
      <c r="A166" s="133" t="s">
        <v>736</v>
      </c>
      <c r="B166" s="132" t="s">
        <v>358</v>
      </c>
      <c r="C166" s="132" t="s">
        <v>446</v>
      </c>
      <c r="D166" s="132" t="s">
        <v>423</v>
      </c>
      <c r="E166" s="233" t="s">
        <v>731</v>
      </c>
      <c r="F166" s="132"/>
      <c r="G166" s="158">
        <f t="shared" ref="G166:I167" si="41">G167</f>
        <v>9402.0920000000006</v>
      </c>
      <c r="H166" s="158">
        <f t="shared" si="41"/>
        <v>9402.0920000000006</v>
      </c>
      <c r="I166" s="158">
        <f t="shared" si="41"/>
        <v>9402.0920000000006</v>
      </c>
      <c r="J166" s="158">
        <f t="shared" si="34"/>
        <v>100</v>
      </c>
    </row>
    <row r="167" spans="1:10">
      <c r="A167" s="131" t="s">
        <v>88</v>
      </c>
      <c r="B167" s="22" t="s">
        <v>358</v>
      </c>
      <c r="C167" s="22" t="s">
        <v>446</v>
      </c>
      <c r="D167" s="22" t="s">
        <v>423</v>
      </c>
      <c r="E167" s="234" t="s">
        <v>731</v>
      </c>
      <c r="F167" s="22" t="s">
        <v>87</v>
      </c>
      <c r="G167" s="156">
        <f t="shared" si="41"/>
        <v>9402.0920000000006</v>
      </c>
      <c r="H167" s="156">
        <f t="shared" si="41"/>
        <v>9402.0920000000006</v>
      </c>
      <c r="I167" s="156">
        <f t="shared" si="41"/>
        <v>9402.0920000000006</v>
      </c>
      <c r="J167" s="156">
        <f t="shared" si="34"/>
        <v>100</v>
      </c>
    </row>
    <row r="168" spans="1:10">
      <c r="A168" s="131" t="s">
        <v>89</v>
      </c>
      <c r="B168" s="22" t="s">
        <v>358</v>
      </c>
      <c r="C168" s="22" t="s">
        <v>446</v>
      </c>
      <c r="D168" s="22" t="s">
        <v>423</v>
      </c>
      <c r="E168" s="234" t="s">
        <v>731</v>
      </c>
      <c r="F168" s="22" t="s">
        <v>90</v>
      </c>
      <c r="G168" s="156">
        <f>9622.17-220.078</f>
        <v>9402.0920000000006</v>
      </c>
      <c r="H168" s="156">
        <v>9402.0920000000006</v>
      </c>
      <c r="I168" s="156">
        <f>9622.17-220.078</f>
        <v>9402.0920000000006</v>
      </c>
      <c r="J168" s="156">
        <f t="shared" si="34"/>
        <v>100</v>
      </c>
    </row>
    <row r="169" spans="1:10">
      <c r="A169" s="133" t="s">
        <v>737</v>
      </c>
      <c r="B169" s="132" t="s">
        <v>358</v>
      </c>
      <c r="C169" s="132" t="s">
        <v>446</v>
      </c>
      <c r="D169" s="132" t="s">
        <v>423</v>
      </c>
      <c r="E169" s="233" t="s">
        <v>436</v>
      </c>
      <c r="F169" s="132"/>
      <c r="G169" s="158">
        <f t="shared" ref="G169:I170" si="42">G170</f>
        <v>3150</v>
      </c>
      <c r="H169" s="158">
        <f t="shared" si="42"/>
        <v>2733.6379999999999</v>
      </c>
      <c r="I169" s="158">
        <f t="shared" si="42"/>
        <v>3150</v>
      </c>
      <c r="J169" s="158">
        <f t="shared" si="34"/>
        <v>100</v>
      </c>
    </row>
    <row r="170" spans="1:10">
      <c r="A170" s="131" t="s">
        <v>88</v>
      </c>
      <c r="B170" s="22" t="s">
        <v>358</v>
      </c>
      <c r="C170" s="22" t="s">
        <v>446</v>
      </c>
      <c r="D170" s="22" t="s">
        <v>423</v>
      </c>
      <c r="E170" s="234" t="s">
        <v>436</v>
      </c>
      <c r="F170" s="22" t="s">
        <v>87</v>
      </c>
      <c r="G170" s="156">
        <f t="shared" si="42"/>
        <v>3150</v>
      </c>
      <c r="H170" s="156">
        <f t="shared" si="42"/>
        <v>2733.6379999999999</v>
      </c>
      <c r="I170" s="156">
        <f t="shared" si="42"/>
        <v>3150</v>
      </c>
      <c r="J170" s="156">
        <f t="shared" si="34"/>
        <v>100</v>
      </c>
    </row>
    <row r="171" spans="1:10">
      <c r="A171" s="131" t="s">
        <v>89</v>
      </c>
      <c r="B171" s="22" t="s">
        <v>358</v>
      </c>
      <c r="C171" s="22" t="s">
        <v>446</v>
      </c>
      <c r="D171" s="22" t="s">
        <v>423</v>
      </c>
      <c r="E171" s="234" t="s">
        <v>436</v>
      </c>
      <c r="F171" s="22" t="s">
        <v>90</v>
      </c>
      <c r="G171" s="156">
        <v>3150</v>
      </c>
      <c r="H171" s="156">
        <v>2733.6379999999999</v>
      </c>
      <c r="I171" s="156">
        <v>3150</v>
      </c>
      <c r="J171" s="156">
        <f t="shared" si="34"/>
        <v>100</v>
      </c>
    </row>
    <row r="172" spans="1:10" ht="24">
      <c r="A172" s="133" t="s">
        <v>476</v>
      </c>
      <c r="B172" s="132" t="s">
        <v>358</v>
      </c>
      <c r="C172" s="132" t="s">
        <v>446</v>
      </c>
      <c r="D172" s="132" t="s">
        <v>423</v>
      </c>
      <c r="E172" s="132" t="s">
        <v>564</v>
      </c>
      <c r="F172" s="132"/>
      <c r="G172" s="158">
        <f t="shared" ref="G172:I173" si="43">G173</f>
        <v>20000</v>
      </c>
      <c r="H172" s="324">
        <f t="shared" si="43"/>
        <v>0</v>
      </c>
      <c r="I172" s="158">
        <f t="shared" si="43"/>
        <v>20000</v>
      </c>
      <c r="J172" s="158">
        <f t="shared" si="34"/>
        <v>100</v>
      </c>
    </row>
    <row r="173" spans="1:10">
      <c r="A173" s="131" t="s">
        <v>88</v>
      </c>
      <c r="B173" s="22" t="s">
        <v>358</v>
      </c>
      <c r="C173" s="22" t="s">
        <v>446</v>
      </c>
      <c r="D173" s="22" t="s">
        <v>423</v>
      </c>
      <c r="E173" s="22" t="s">
        <v>564</v>
      </c>
      <c r="F173" s="22" t="s">
        <v>87</v>
      </c>
      <c r="G173" s="156">
        <f t="shared" si="43"/>
        <v>20000</v>
      </c>
      <c r="H173" s="323">
        <f t="shared" si="43"/>
        <v>0</v>
      </c>
      <c r="I173" s="156">
        <f t="shared" si="43"/>
        <v>20000</v>
      </c>
      <c r="J173" s="156">
        <f t="shared" si="34"/>
        <v>100</v>
      </c>
    </row>
    <row r="174" spans="1:10">
      <c r="A174" s="131" t="s">
        <v>89</v>
      </c>
      <c r="B174" s="22" t="s">
        <v>358</v>
      </c>
      <c r="C174" s="22" t="s">
        <v>446</v>
      </c>
      <c r="D174" s="22" t="s">
        <v>423</v>
      </c>
      <c r="E174" s="22" t="s">
        <v>564</v>
      </c>
      <c r="F174" s="22" t="s">
        <v>90</v>
      </c>
      <c r="G174" s="156">
        <v>20000</v>
      </c>
      <c r="H174" s="323">
        <v>0</v>
      </c>
      <c r="I174" s="156">
        <v>20000</v>
      </c>
      <c r="J174" s="156">
        <f t="shared" si="34"/>
        <v>100</v>
      </c>
    </row>
    <row r="175" spans="1:10">
      <c r="A175" s="133" t="s">
        <v>84</v>
      </c>
      <c r="B175" s="132" t="s">
        <v>358</v>
      </c>
      <c r="C175" s="132" t="s">
        <v>446</v>
      </c>
      <c r="D175" s="132" t="s">
        <v>423</v>
      </c>
      <c r="E175" s="132" t="s">
        <v>288</v>
      </c>
      <c r="F175" s="22"/>
      <c r="G175" s="158">
        <f t="shared" ref="G175:I176" si="44">G176</f>
        <v>30</v>
      </c>
      <c r="H175" s="158">
        <f t="shared" si="44"/>
        <v>30</v>
      </c>
      <c r="I175" s="158">
        <f t="shared" si="44"/>
        <v>30</v>
      </c>
      <c r="J175" s="158">
        <f t="shared" si="34"/>
        <v>100</v>
      </c>
    </row>
    <row r="176" spans="1:10">
      <c r="A176" s="131" t="s">
        <v>88</v>
      </c>
      <c r="B176" s="22" t="s">
        <v>358</v>
      </c>
      <c r="C176" s="22" t="s">
        <v>446</v>
      </c>
      <c r="D176" s="22" t="s">
        <v>423</v>
      </c>
      <c r="E176" s="22" t="s">
        <v>288</v>
      </c>
      <c r="F176" s="22" t="s">
        <v>87</v>
      </c>
      <c r="G176" s="156">
        <f t="shared" si="44"/>
        <v>30</v>
      </c>
      <c r="H176" s="156">
        <f t="shared" si="44"/>
        <v>30</v>
      </c>
      <c r="I176" s="156">
        <f t="shared" si="44"/>
        <v>30</v>
      </c>
      <c r="J176" s="156">
        <f t="shared" si="34"/>
        <v>100</v>
      </c>
    </row>
    <row r="177" spans="1:10">
      <c r="A177" s="131" t="s">
        <v>89</v>
      </c>
      <c r="B177" s="22" t="s">
        <v>358</v>
      </c>
      <c r="C177" s="22" t="s">
        <v>446</v>
      </c>
      <c r="D177" s="22" t="s">
        <v>423</v>
      </c>
      <c r="E177" s="22" t="s">
        <v>288</v>
      </c>
      <c r="F177" s="22" t="s">
        <v>90</v>
      </c>
      <c r="G177" s="156">
        <v>30</v>
      </c>
      <c r="H177" s="156">
        <v>30</v>
      </c>
      <c r="I177" s="156">
        <v>30</v>
      </c>
      <c r="J177" s="156">
        <f t="shared" si="34"/>
        <v>100</v>
      </c>
    </row>
    <row r="178" spans="1:10" ht="27">
      <c r="A178" s="174" t="s">
        <v>562</v>
      </c>
      <c r="B178" s="144" t="s">
        <v>358</v>
      </c>
      <c r="C178" s="144" t="s">
        <v>446</v>
      </c>
      <c r="D178" s="144" t="s">
        <v>423</v>
      </c>
      <c r="E178" s="228" t="s">
        <v>226</v>
      </c>
      <c r="F178" s="144"/>
      <c r="G178" s="218">
        <f t="shared" ref="G178:I180" si="45">G179</f>
        <v>1500</v>
      </c>
      <c r="H178" s="218">
        <f t="shared" si="45"/>
        <v>770</v>
      </c>
      <c r="I178" s="218">
        <f t="shared" si="45"/>
        <v>1500</v>
      </c>
      <c r="J178" s="218">
        <f t="shared" si="34"/>
        <v>100</v>
      </c>
    </row>
    <row r="179" spans="1:10" ht="24">
      <c r="A179" s="229" t="s">
        <v>46</v>
      </c>
      <c r="B179" s="132" t="s">
        <v>358</v>
      </c>
      <c r="C179" s="132" t="s">
        <v>446</v>
      </c>
      <c r="D179" s="132" t="s">
        <v>423</v>
      </c>
      <c r="E179" s="210" t="s">
        <v>563</v>
      </c>
      <c r="F179" s="132"/>
      <c r="G179" s="158">
        <f t="shared" si="45"/>
        <v>1500</v>
      </c>
      <c r="H179" s="158">
        <f t="shared" si="45"/>
        <v>770</v>
      </c>
      <c r="I179" s="158">
        <f t="shared" si="45"/>
        <v>1500</v>
      </c>
      <c r="J179" s="158">
        <f t="shared" si="34"/>
        <v>100</v>
      </c>
    </row>
    <row r="180" spans="1:10">
      <c r="A180" s="131" t="s">
        <v>88</v>
      </c>
      <c r="B180" s="22" t="s">
        <v>358</v>
      </c>
      <c r="C180" s="22" t="s">
        <v>446</v>
      </c>
      <c r="D180" s="22" t="s">
        <v>423</v>
      </c>
      <c r="E180" s="211" t="s">
        <v>563</v>
      </c>
      <c r="F180" s="22" t="s">
        <v>87</v>
      </c>
      <c r="G180" s="156">
        <f t="shared" si="45"/>
        <v>1500</v>
      </c>
      <c r="H180" s="156">
        <f t="shared" si="45"/>
        <v>770</v>
      </c>
      <c r="I180" s="156">
        <f t="shared" si="45"/>
        <v>1500</v>
      </c>
      <c r="J180" s="156">
        <f t="shared" si="34"/>
        <v>100</v>
      </c>
    </row>
    <row r="181" spans="1:10">
      <c r="A181" s="131" t="s">
        <v>138</v>
      </c>
      <c r="B181" s="22" t="s">
        <v>358</v>
      </c>
      <c r="C181" s="22" t="s">
        <v>446</v>
      </c>
      <c r="D181" s="22" t="s">
        <v>423</v>
      </c>
      <c r="E181" s="211" t="s">
        <v>563</v>
      </c>
      <c r="F181" s="22" t="s">
        <v>449</v>
      </c>
      <c r="G181" s="156">
        <v>1500</v>
      </c>
      <c r="H181" s="156">
        <v>770</v>
      </c>
      <c r="I181" s="156">
        <v>1500</v>
      </c>
      <c r="J181" s="156">
        <f t="shared" si="34"/>
        <v>100</v>
      </c>
    </row>
    <row r="182" spans="1:10">
      <c r="A182" s="133" t="s">
        <v>354</v>
      </c>
      <c r="B182" s="132" t="s">
        <v>358</v>
      </c>
      <c r="C182" s="132" t="s">
        <v>429</v>
      </c>
      <c r="D182" s="132" t="s">
        <v>70</v>
      </c>
      <c r="E182" s="132"/>
      <c r="F182" s="132"/>
      <c r="G182" s="158">
        <f t="shared" ref="G182:I186" si="46">G183</f>
        <v>8888</v>
      </c>
      <c r="H182" s="158">
        <f t="shared" si="46"/>
        <v>8093.19632</v>
      </c>
      <c r="I182" s="158">
        <f t="shared" si="46"/>
        <v>8888</v>
      </c>
      <c r="J182" s="158">
        <f t="shared" si="34"/>
        <v>100</v>
      </c>
    </row>
    <row r="183" spans="1:10" ht="15.75">
      <c r="A183" s="133" t="s">
        <v>343</v>
      </c>
      <c r="B183" s="132" t="s">
        <v>358</v>
      </c>
      <c r="C183" s="132" t="s">
        <v>429</v>
      </c>
      <c r="D183" s="132" t="s">
        <v>431</v>
      </c>
      <c r="E183" s="132" t="s">
        <v>187</v>
      </c>
      <c r="F183" s="151"/>
      <c r="G183" s="158">
        <f t="shared" si="46"/>
        <v>8888</v>
      </c>
      <c r="H183" s="158">
        <f t="shared" si="46"/>
        <v>8093.19632</v>
      </c>
      <c r="I183" s="158">
        <f t="shared" si="46"/>
        <v>8888</v>
      </c>
      <c r="J183" s="158">
        <f t="shared" si="34"/>
        <v>100</v>
      </c>
    </row>
    <row r="184" spans="1:10">
      <c r="A184" s="133" t="s">
        <v>98</v>
      </c>
      <c r="B184" s="132" t="s">
        <v>358</v>
      </c>
      <c r="C184" s="132" t="s">
        <v>429</v>
      </c>
      <c r="D184" s="132" t="s">
        <v>431</v>
      </c>
      <c r="E184" s="132" t="s">
        <v>188</v>
      </c>
      <c r="F184" s="132"/>
      <c r="G184" s="158">
        <f t="shared" si="46"/>
        <v>8888</v>
      </c>
      <c r="H184" s="158">
        <f t="shared" si="46"/>
        <v>8093.19632</v>
      </c>
      <c r="I184" s="158">
        <f t="shared" si="46"/>
        <v>8888</v>
      </c>
      <c r="J184" s="158">
        <f t="shared" si="34"/>
        <v>100</v>
      </c>
    </row>
    <row r="185" spans="1:10" ht="24">
      <c r="A185" s="133" t="s">
        <v>45</v>
      </c>
      <c r="B185" s="132" t="s">
        <v>358</v>
      </c>
      <c r="C185" s="132" t="s">
        <v>429</v>
      </c>
      <c r="D185" s="132" t="s">
        <v>431</v>
      </c>
      <c r="E185" s="132" t="s">
        <v>437</v>
      </c>
      <c r="F185" s="132"/>
      <c r="G185" s="158">
        <f t="shared" si="46"/>
        <v>8888</v>
      </c>
      <c r="H185" s="158">
        <f t="shared" si="46"/>
        <v>8093.19632</v>
      </c>
      <c r="I185" s="158">
        <f t="shared" si="46"/>
        <v>8888</v>
      </c>
      <c r="J185" s="158">
        <f t="shared" si="34"/>
        <v>100</v>
      </c>
    </row>
    <row r="186" spans="1:10">
      <c r="A186" s="131" t="s">
        <v>94</v>
      </c>
      <c r="B186" s="22" t="s">
        <v>358</v>
      </c>
      <c r="C186" s="22" t="s">
        <v>429</v>
      </c>
      <c r="D186" s="22" t="s">
        <v>431</v>
      </c>
      <c r="E186" s="22" t="s">
        <v>437</v>
      </c>
      <c r="F186" s="22" t="s">
        <v>362</v>
      </c>
      <c r="G186" s="156">
        <f t="shared" si="46"/>
        <v>8888</v>
      </c>
      <c r="H186" s="156">
        <f t="shared" si="46"/>
        <v>8093.19632</v>
      </c>
      <c r="I186" s="156">
        <f t="shared" si="46"/>
        <v>8888</v>
      </c>
      <c r="J186" s="156">
        <f t="shared" si="34"/>
        <v>100</v>
      </c>
    </row>
    <row r="187" spans="1:10">
      <c r="A187" s="131" t="s">
        <v>95</v>
      </c>
      <c r="B187" s="22" t="s">
        <v>358</v>
      </c>
      <c r="C187" s="22" t="s">
        <v>429</v>
      </c>
      <c r="D187" s="22" t="s">
        <v>431</v>
      </c>
      <c r="E187" s="22" t="s">
        <v>437</v>
      </c>
      <c r="F187" s="22" t="s">
        <v>371</v>
      </c>
      <c r="G187" s="156">
        <f>8888</f>
        <v>8888</v>
      </c>
      <c r="H187" s="156">
        <v>8093.19632</v>
      </c>
      <c r="I187" s="156">
        <f>8888</f>
        <v>8888</v>
      </c>
      <c r="J187" s="156">
        <f t="shared" si="34"/>
        <v>100</v>
      </c>
    </row>
    <row r="188" spans="1:10" ht="31.5">
      <c r="A188" s="213" t="s">
        <v>565</v>
      </c>
      <c r="B188" s="214">
        <v>599</v>
      </c>
      <c r="C188" s="151"/>
      <c r="D188" s="151"/>
      <c r="E188" s="214"/>
      <c r="F188" s="214"/>
      <c r="G188" s="215">
        <f>G189+G219+G226</f>
        <v>13735.030999999999</v>
      </c>
      <c r="H188" s="215">
        <f>H189+H219+H226</f>
        <v>9766.8174399999989</v>
      </c>
      <c r="I188" s="215">
        <f>I189+I219+I226</f>
        <v>13585.030999999999</v>
      </c>
      <c r="J188" s="215">
        <f t="shared" si="34"/>
        <v>98.907901991630027</v>
      </c>
    </row>
    <row r="189" spans="1:10">
      <c r="A189" s="133" t="s">
        <v>103</v>
      </c>
      <c r="B189" s="132" t="s">
        <v>361</v>
      </c>
      <c r="C189" s="132" t="s">
        <v>69</v>
      </c>
      <c r="D189" s="132" t="s">
        <v>70</v>
      </c>
      <c r="E189" s="132"/>
      <c r="F189" s="132"/>
      <c r="G189" s="158">
        <f>G190+G207+G213</f>
        <v>11690.030999999999</v>
      </c>
      <c r="H189" s="158">
        <f>H190+H207+H213</f>
        <v>8414.4627599999985</v>
      </c>
      <c r="I189" s="158">
        <f>I190+I207+I213</f>
        <v>11690.030999999999</v>
      </c>
      <c r="J189" s="158">
        <f t="shared" si="34"/>
        <v>100</v>
      </c>
    </row>
    <row r="190" spans="1:10" ht="24">
      <c r="A190" s="133" t="s">
        <v>280</v>
      </c>
      <c r="B190" s="132" t="s">
        <v>361</v>
      </c>
      <c r="C190" s="132" t="s">
        <v>69</v>
      </c>
      <c r="D190" s="132" t="s">
        <v>71</v>
      </c>
      <c r="E190" s="132"/>
      <c r="F190" s="132"/>
      <c r="G190" s="158">
        <f t="shared" ref="G190:I191" si="47">G191</f>
        <v>11444.356</v>
      </c>
      <c r="H190" s="158">
        <f t="shared" si="47"/>
        <v>8320.0627599999989</v>
      </c>
      <c r="I190" s="158">
        <f t="shared" si="47"/>
        <v>11444.356</v>
      </c>
      <c r="J190" s="158">
        <f t="shared" si="34"/>
        <v>100</v>
      </c>
    </row>
    <row r="191" spans="1:10">
      <c r="A191" s="173" t="s">
        <v>67</v>
      </c>
      <c r="B191" s="140" t="s">
        <v>361</v>
      </c>
      <c r="C191" s="140" t="s">
        <v>69</v>
      </c>
      <c r="D191" s="140" t="s">
        <v>71</v>
      </c>
      <c r="E191" s="140" t="s">
        <v>187</v>
      </c>
      <c r="F191" s="140"/>
      <c r="G191" s="175">
        <f t="shared" si="47"/>
        <v>11444.356</v>
      </c>
      <c r="H191" s="175">
        <f t="shared" si="47"/>
        <v>8320.0627599999989</v>
      </c>
      <c r="I191" s="175">
        <f t="shared" si="47"/>
        <v>11444.356</v>
      </c>
      <c r="J191" s="175">
        <f t="shared" si="34"/>
        <v>100</v>
      </c>
    </row>
    <row r="192" spans="1:10">
      <c r="A192" s="212" t="s">
        <v>272</v>
      </c>
      <c r="B192" s="132" t="s">
        <v>361</v>
      </c>
      <c r="C192" s="132" t="s">
        <v>69</v>
      </c>
      <c r="D192" s="132" t="s">
        <v>71</v>
      </c>
      <c r="E192" s="132" t="s">
        <v>188</v>
      </c>
      <c r="F192" s="132"/>
      <c r="G192" s="158">
        <f>G193+G196+G201+G204</f>
        <v>11444.356</v>
      </c>
      <c r="H192" s="158">
        <f>H193+H196+H201+H204</f>
        <v>8320.0627599999989</v>
      </c>
      <c r="I192" s="158">
        <f>I193+I196+I201+I204</f>
        <v>11444.356</v>
      </c>
      <c r="J192" s="158">
        <f t="shared" si="34"/>
        <v>100</v>
      </c>
    </row>
    <row r="193" spans="1:10">
      <c r="A193" s="212" t="s">
        <v>271</v>
      </c>
      <c r="B193" s="132" t="s">
        <v>361</v>
      </c>
      <c r="C193" s="132" t="s">
        <v>69</v>
      </c>
      <c r="D193" s="132" t="s">
        <v>71</v>
      </c>
      <c r="E193" s="132" t="s">
        <v>189</v>
      </c>
      <c r="F193" s="132"/>
      <c r="G193" s="158">
        <f t="shared" ref="G193:I194" si="48">G194</f>
        <v>8630.6999999999989</v>
      </c>
      <c r="H193" s="158">
        <f t="shared" si="48"/>
        <v>6889.77765</v>
      </c>
      <c r="I193" s="158">
        <f t="shared" si="48"/>
        <v>8630.6999999999989</v>
      </c>
      <c r="J193" s="158">
        <f t="shared" si="34"/>
        <v>100</v>
      </c>
    </row>
    <row r="194" spans="1:10" ht="36">
      <c r="A194" s="131" t="s">
        <v>72</v>
      </c>
      <c r="B194" s="22" t="s">
        <v>361</v>
      </c>
      <c r="C194" s="22" t="s">
        <v>69</v>
      </c>
      <c r="D194" s="22" t="s">
        <v>71</v>
      </c>
      <c r="E194" s="22" t="s">
        <v>189</v>
      </c>
      <c r="F194" s="22" t="s">
        <v>73</v>
      </c>
      <c r="G194" s="156">
        <f t="shared" si="48"/>
        <v>8630.6999999999989</v>
      </c>
      <c r="H194" s="156">
        <f t="shared" si="48"/>
        <v>6889.77765</v>
      </c>
      <c r="I194" s="156">
        <f t="shared" si="48"/>
        <v>8630.6999999999989</v>
      </c>
      <c r="J194" s="156">
        <f t="shared" si="34"/>
        <v>100</v>
      </c>
    </row>
    <row r="195" spans="1:10">
      <c r="A195" s="131" t="s">
        <v>74</v>
      </c>
      <c r="B195" s="22" t="s">
        <v>361</v>
      </c>
      <c r="C195" s="22" t="s">
        <v>69</v>
      </c>
      <c r="D195" s="22" t="s">
        <v>71</v>
      </c>
      <c r="E195" s="22" t="s">
        <v>189</v>
      </c>
      <c r="F195" s="22" t="s">
        <v>75</v>
      </c>
      <c r="G195" s="156">
        <f>7749.4+677.3+204</f>
        <v>8630.6999999999989</v>
      </c>
      <c r="H195" s="156">
        <v>6889.77765</v>
      </c>
      <c r="I195" s="156">
        <f>7749.4+677.3+204</f>
        <v>8630.6999999999989</v>
      </c>
      <c r="J195" s="156">
        <f t="shared" si="34"/>
        <v>100</v>
      </c>
    </row>
    <row r="196" spans="1:10">
      <c r="A196" s="133" t="s">
        <v>76</v>
      </c>
      <c r="B196" s="132" t="s">
        <v>361</v>
      </c>
      <c r="C196" s="132" t="s">
        <v>69</v>
      </c>
      <c r="D196" s="132" t="s">
        <v>71</v>
      </c>
      <c r="E196" s="132" t="s">
        <v>190</v>
      </c>
      <c r="F196" s="132"/>
      <c r="G196" s="158">
        <f>G197+G199</f>
        <v>2520.3000000000002</v>
      </c>
      <c r="H196" s="158">
        <f>H197+H199</f>
        <v>1417.2351099999998</v>
      </c>
      <c r="I196" s="158">
        <f>I197+I199</f>
        <v>2520.3000000000002</v>
      </c>
      <c r="J196" s="158">
        <f t="shared" si="34"/>
        <v>100</v>
      </c>
    </row>
    <row r="197" spans="1:10">
      <c r="A197" s="131" t="s">
        <v>486</v>
      </c>
      <c r="B197" s="22" t="s">
        <v>361</v>
      </c>
      <c r="C197" s="22" t="s">
        <v>69</v>
      </c>
      <c r="D197" s="22" t="s">
        <v>71</v>
      </c>
      <c r="E197" s="22" t="s">
        <v>190</v>
      </c>
      <c r="F197" s="22" t="s">
        <v>77</v>
      </c>
      <c r="G197" s="156">
        <f>G198</f>
        <v>2492.8000000000002</v>
      </c>
      <c r="H197" s="156">
        <f>H198</f>
        <v>1415.3751099999999</v>
      </c>
      <c r="I197" s="156">
        <f>I198</f>
        <v>2492.8000000000002</v>
      </c>
      <c r="J197" s="156">
        <f t="shared" si="34"/>
        <v>100</v>
      </c>
    </row>
    <row r="198" spans="1:10">
      <c r="A198" s="131" t="s">
        <v>78</v>
      </c>
      <c r="B198" s="22" t="s">
        <v>361</v>
      </c>
      <c r="C198" s="22" t="s">
        <v>69</v>
      </c>
      <c r="D198" s="22" t="s">
        <v>71</v>
      </c>
      <c r="E198" s="22" t="s">
        <v>190</v>
      </c>
      <c r="F198" s="22" t="s">
        <v>79</v>
      </c>
      <c r="G198" s="156">
        <f>2148.8+100+100+69+75</f>
        <v>2492.8000000000002</v>
      </c>
      <c r="H198" s="156">
        <v>1415.3751099999999</v>
      </c>
      <c r="I198" s="156">
        <f>2148.8+100+100+69+75</f>
        <v>2492.8000000000002</v>
      </c>
      <c r="J198" s="156">
        <f t="shared" si="34"/>
        <v>100</v>
      </c>
    </row>
    <row r="199" spans="1:10">
      <c r="A199" s="131" t="s">
        <v>80</v>
      </c>
      <c r="B199" s="22" t="s">
        <v>361</v>
      </c>
      <c r="C199" s="22" t="s">
        <v>69</v>
      </c>
      <c r="D199" s="22" t="s">
        <v>71</v>
      </c>
      <c r="E199" s="22" t="s">
        <v>190</v>
      </c>
      <c r="F199" s="22" t="s">
        <v>81</v>
      </c>
      <c r="G199" s="156">
        <f>G200</f>
        <v>27.5</v>
      </c>
      <c r="H199" s="156">
        <f>H200</f>
        <v>1.86</v>
      </c>
      <c r="I199" s="156">
        <f>I200</f>
        <v>27.5</v>
      </c>
      <c r="J199" s="156">
        <f t="shared" si="34"/>
        <v>100</v>
      </c>
    </row>
    <row r="200" spans="1:10">
      <c r="A200" s="131" t="s">
        <v>445</v>
      </c>
      <c r="B200" s="22" t="s">
        <v>361</v>
      </c>
      <c r="C200" s="22" t="s">
        <v>69</v>
      </c>
      <c r="D200" s="22" t="s">
        <v>71</v>
      </c>
      <c r="E200" s="22" t="s">
        <v>190</v>
      </c>
      <c r="F200" s="22" t="s">
        <v>82</v>
      </c>
      <c r="G200" s="156">
        <v>27.5</v>
      </c>
      <c r="H200" s="156">
        <v>1.86</v>
      </c>
      <c r="I200" s="156">
        <v>27.5</v>
      </c>
      <c r="J200" s="156">
        <f t="shared" ref="J200:J263" si="49">I200/G200*100</f>
        <v>100</v>
      </c>
    </row>
    <row r="201" spans="1:10" ht="24">
      <c r="A201" s="224" t="s">
        <v>720</v>
      </c>
      <c r="B201" s="140" t="s">
        <v>361</v>
      </c>
      <c r="C201" s="140" t="s">
        <v>69</v>
      </c>
      <c r="D201" s="140" t="s">
        <v>71</v>
      </c>
      <c r="E201" s="140" t="s">
        <v>721</v>
      </c>
      <c r="F201" s="140"/>
      <c r="G201" s="175">
        <f t="shared" ref="G201:I202" si="50">G202</f>
        <v>13.05</v>
      </c>
      <c r="H201" s="175">
        <f t="shared" si="50"/>
        <v>13.05</v>
      </c>
      <c r="I201" s="175">
        <f t="shared" si="50"/>
        <v>13.05</v>
      </c>
      <c r="J201" s="175">
        <f t="shared" si="49"/>
        <v>100</v>
      </c>
    </row>
    <row r="202" spans="1:10" ht="36">
      <c r="A202" s="131" t="s">
        <v>72</v>
      </c>
      <c r="B202" s="22" t="s">
        <v>361</v>
      </c>
      <c r="C202" s="22" t="s">
        <v>69</v>
      </c>
      <c r="D202" s="22" t="s">
        <v>71</v>
      </c>
      <c r="E202" s="22" t="s">
        <v>721</v>
      </c>
      <c r="F202" s="22" t="s">
        <v>73</v>
      </c>
      <c r="G202" s="156">
        <f t="shared" si="50"/>
        <v>13.05</v>
      </c>
      <c r="H202" s="156">
        <f t="shared" si="50"/>
        <v>13.05</v>
      </c>
      <c r="I202" s="156">
        <f t="shared" si="50"/>
        <v>13.05</v>
      </c>
      <c r="J202" s="156">
        <f t="shared" si="49"/>
        <v>100</v>
      </c>
    </row>
    <row r="203" spans="1:10">
      <c r="A203" s="131" t="s">
        <v>74</v>
      </c>
      <c r="B203" s="22" t="s">
        <v>361</v>
      </c>
      <c r="C203" s="22" t="s">
        <v>69</v>
      </c>
      <c r="D203" s="22" t="s">
        <v>71</v>
      </c>
      <c r="E203" s="22" t="s">
        <v>721</v>
      </c>
      <c r="F203" s="22" t="s">
        <v>75</v>
      </c>
      <c r="G203" s="156">
        <v>13.05</v>
      </c>
      <c r="H203" s="156">
        <v>13.05</v>
      </c>
      <c r="I203" s="156">
        <v>13.05</v>
      </c>
      <c r="J203" s="156">
        <f t="shared" si="49"/>
        <v>100</v>
      </c>
    </row>
    <row r="204" spans="1:10">
      <c r="A204" s="133" t="s">
        <v>774</v>
      </c>
      <c r="B204" s="132" t="s">
        <v>361</v>
      </c>
      <c r="C204" s="132" t="s">
        <v>69</v>
      </c>
      <c r="D204" s="132" t="s">
        <v>71</v>
      </c>
      <c r="E204" s="132" t="s">
        <v>769</v>
      </c>
      <c r="F204" s="132"/>
      <c r="G204" s="158">
        <f t="shared" ref="G204:I205" si="51">G205</f>
        <v>280.30599999999998</v>
      </c>
      <c r="H204" s="324">
        <f t="shared" si="51"/>
        <v>0</v>
      </c>
      <c r="I204" s="158">
        <f t="shared" si="51"/>
        <v>280.30599999999998</v>
      </c>
      <c r="J204" s="158">
        <f t="shared" si="49"/>
        <v>100</v>
      </c>
    </row>
    <row r="205" spans="1:10" ht="36">
      <c r="A205" s="131" t="s">
        <v>72</v>
      </c>
      <c r="B205" s="22" t="s">
        <v>361</v>
      </c>
      <c r="C205" s="22" t="s">
        <v>69</v>
      </c>
      <c r="D205" s="22" t="s">
        <v>71</v>
      </c>
      <c r="E205" s="22" t="s">
        <v>769</v>
      </c>
      <c r="F205" s="22" t="s">
        <v>73</v>
      </c>
      <c r="G205" s="156">
        <f t="shared" si="51"/>
        <v>280.30599999999998</v>
      </c>
      <c r="H205" s="323">
        <f t="shared" si="51"/>
        <v>0</v>
      </c>
      <c r="I205" s="156">
        <f t="shared" si="51"/>
        <v>280.30599999999998</v>
      </c>
      <c r="J205" s="156">
        <f t="shared" si="49"/>
        <v>100</v>
      </c>
    </row>
    <row r="206" spans="1:10">
      <c r="A206" s="131" t="s">
        <v>74</v>
      </c>
      <c r="B206" s="22" t="s">
        <v>361</v>
      </c>
      <c r="C206" s="22" t="s">
        <v>69</v>
      </c>
      <c r="D206" s="22" t="s">
        <v>71</v>
      </c>
      <c r="E206" s="22" t="s">
        <v>769</v>
      </c>
      <c r="F206" s="22" t="s">
        <v>75</v>
      </c>
      <c r="G206" s="156">
        <v>280.30599999999998</v>
      </c>
      <c r="H206" s="323">
        <v>0</v>
      </c>
      <c r="I206" s="156">
        <v>280.30599999999998</v>
      </c>
      <c r="J206" s="156">
        <f t="shared" si="49"/>
        <v>100</v>
      </c>
    </row>
    <row r="207" spans="1:10">
      <c r="A207" s="133" t="s">
        <v>395</v>
      </c>
      <c r="B207" s="132" t="s">
        <v>361</v>
      </c>
      <c r="C207" s="132" t="s">
        <v>69</v>
      </c>
      <c r="D207" s="132" t="s">
        <v>376</v>
      </c>
      <c r="E207" s="132"/>
      <c r="F207" s="132"/>
      <c r="G207" s="158">
        <f t="shared" ref="G207:I211" si="52">G208</f>
        <v>45.674999999999997</v>
      </c>
      <c r="H207" s="324">
        <f t="shared" si="52"/>
        <v>0</v>
      </c>
      <c r="I207" s="158">
        <f t="shared" si="52"/>
        <v>45.674999999999997</v>
      </c>
      <c r="J207" s="158">
        <f t="shared" si="49"/>
        <v>100</v>
      </c>
    </row>
    <row r="208" spans="1:10">
      <c r="A208" s="173" t="s">
        <v>67</v>
      </c>
      <c r="B208" s="140" t="s">
        <v>361</v>
      </c>
      <c r="C208" s="140" t="s">
        <v>69</v>
      </c>
      <c r="D208" s="140" t="s">
        <v>376</v>
      </c>
      <c r="E208" s="140" t="s">
        <v>187</v>
      </c>
      <c r="F208" s="22"/>
      <c r="G208" s="175">
        <f t="shared" si="52"/>
        <v>45.674999999999997</v>
      </c>
      <c r="H208" s="325">
        <f t="shared" si="52"/>
        <v>0</v>
      </c>
      <c r="I208" s="175">
        <f t="shared" si="52"/>
        <v>45.674999999999997</v>
      </c>
      <c r="J208" s="175">
        <f t="shared" si="49"/>
        <v>100</v>
      </c>
    </row>
    <row r="209" spans="1:10">
      <c r="A209" s="212" t="s">
        <v>272</v>
      </c>
      <c r="B209" s="132" t="s">
        <v>361</v>
      </c>
      <c r="C209" s="132" t="s">
        <v>69</v>
      </c>
      <c r="D209" s="132" t="s">
        <v>376</v>
      </c>
      <c r="E209" s="132" t="s">
        <v>188</v>
      </c>
      <c r="F209" s="22"/>
      <c r="G209" s="158">
        <f t="shared" si="52"/>
        <v>45.674999999999997</v>
      </c>
      <c r="H209" s="324">
        <f t="shared" si="52"/>
        <v>0</v>
      </c>
      <c r="I209" s="158">
        <f t="shared" si="52"/>
        <v>45.674999999999997</v>
      </c>
      <c r="J209" s="158">
        <f t="shared" si="49"/>
        <v>100</v>
      </c>
    </row>
    <row r="210" spans="1:10" ht="24">
      <c r="A210" s="133" t="s">
        <v>398</v>
      </c>
      <c r="B210" s="132" t="s">
        <v>361</v>
      </c>
      <c r="C210" s="132" t="s">
        <v>69</v>
      </c>
      <c r="D210" s="132" t="s">
        <v>376</v>
      </c>
      <c r="E210" s="132" t="s">
        <v>313</v>
      </c>
      <c r="F210" s="132"/>
      <c r="G210" s="158">
        <f t="shared" si="52"/>
        <v>45.674999999999997</v>
      </c>
      <c r="H210" s="324">
        <f t="shared" si="52"/>
        <v>0</v>
      </c>
      <c r="I210" s="158">
        <f t="shared" si="52"/>
        <v>45.674999999999997</v>
      </c>
      <c r="J210" s="158">
        <f t="shared" si="49"/>
        <v>100</v>
      </c>
    </row>
    <row r="211" spans="1:10">
      <c r="A211" s="131" t="s">
        <v>486</v>
      </c>
      <c r="B211" s="22" t="s">
        <v>361</v>
      </c>
      <c r="C211" s="22" t="s">
        <v>69</v>
      </c>
      <c r="D211" s="22" t="s">
        <v>376</v>
      </c>
      <c r="E211" s="22" t="s">
        <v>313</v>
      </c>
      <c r="F211" s="22" t="s">
        <v>77</v>
      </c>
      <c r="G211" s="156">
        <f t="shared" si="52"/>
        <v>45.674999999999997</v>
      </c>
      <c r="H211" s="323">
        <f t="shared" si="52"/>
        <v>0</v>
      </c>
      <c r="I211" s="156">
        <f t="shared" si="52"/>
        <v>45.674999999999997</v>
      </c>
      <c r="J211" s="156">
        <f t="shared" si="49"/>
        <v>100</v>
      </c>
    </row>
    <row r="212" spans="1:10">
      <c r="A212" s="131" t="s">
        <v>78</v>
      </c>
      <c r="B212" s="22" t="s">
        <v>361</v>
      </c>
      <c r="C212" s="22" t="s">
        <v>69</v>
      </c>
      <c r="D212" s="22" t="s">
        <v>376</v>
      </c>
      <c r="E212" s="22" t="s">
        <v>313</v>
      </c>
      <c r="F212" s="22" t="s">
        <v>79</v>
      </c>
      <c r="G212" s="156">
        <v>45.674999999999997</v>
      </c>
      <c r="H212" s="323">
        <v>0</v>
      </c>
      <c r="I212" s="156">
        <v>45.674999999999997</v>
      </c>
      <c r="J212" s="156">
        <f t="shared" si="49"/>
        <v>100</v>
      </c>
    </row>
    <row r="213" spans="1:10">
      <c r="A213" s="135" t="s">
        <v>285</v>
      </c>
      <c r="B213" s="132" t="s">
        <v>361</v>
      </c>
      <c r="C213" s="132" t="s">
        <v>69</v>
      </c>
      <c r="D213" s="132" t="s">
        <v>86</v>
      </c>
      <c r="E213" s="132"/>
      <c r="F213" s="132"/>
      <c r="G213" s="158">
        <f t="shared" ref="G213:I217" si="53">G214</f>
        <v>200</v>
      </c>
      <c r="H213" s="158">
        <f t="shared" si="53"/>
        <v>94.4</v>
      </c>
      <c r="I213" s="158">
        <f t="shared" si="53"/>
        <v>200</v>
      </c>
      <c r="J213" s="158">
        <f t="shared" si="49"/>
        <v>100</v>
      </c>
    </row>
    <row r="214" spans="1:10" ht="27">
      <c r="A214" s="235" t="s">
        <v>478</v>
      </c>
      <c r="B214" s="144">
        <v>599</v>
      </c>
      <c r="C214" s="144" t="s">
        <v>69</v>
      </c>
      <c r="D214" s="144" t="s">
        <v>86</v>
      </c>
      <c r="E214" s="144" t="s">
        <v>93</v>
      </c>
      <c r="F214" s="144"/>
      <c r="G214" s="218">
        <f t="shared" si="53"/>
        <v>200</v>
      </c>
      <c r="H214" s="218">
        <f t="shared" si="53"/>
        <v>94.4</v>
      </c>
      <c r="I214" s="218">
        <f t="shared" si="53"/>
        <v>200</v>
      </c>
      <c r="J214" s="218">
        <f t="shared" si="49"/>
        <v>100</v>
      </c>
    </row>
    <row r="215" spans="1:10">
      <c r="A215" s="135" t="s">
        <v>438</v>
      </c>
      <c r="B215" s="132" t="s">
        <v>361</v>
      </c>
      <c r="C215" s="132" t="s">
        <v>69</v>
      </c>
      <c r="D215" s="132" t="s">
        <v>86</v>
      </c>
      <c r="E215" s="132" t="s">
        <v>439</v>
      </c>
      <c r="F215" s="132"/>
      <c r="G215" s="158">
        <f t="shared" si="53"/>
        <v>200</v>
      </c>
      <c r="H215" s="158">
        <f t="shared" si="53"/>
        <v>94.4</v>
      </c>
      <c r="I215" s="158">
        <f t="shared" si="53"/>
        <v>200</v>
      </c>
      <c r="J215" s="158">
        <f t="shared" si="49"/>
        <v>100</v>
      </c>
    </row>
    <row r="216" spans="1:10">
      <c r="A216" s="236" t="s">
        <v>566</v>
      </c>
      <c r="B216" s="140" t="s">
        <v>361</v>
      </c>
      <c r="C216" s="140" t="s">
        <v>69</v>
      </c>
      <c r="D216" s="140" t="s">
        <v>86</v>
      </c>
      <c r="E216" s="140" t="s">
        <v>567</v>
      </c>
      <c r="F216" s="140"/>
      <c r="G216" s="175">
        <f t="shared" si="53"/>
        <v>200</v>
      </c>
      <c r="H216" s="175">
        <f t="shared" si="53"/>
        <v>94.4</v>
      </c>
      <c r="I216" s="175">
        <f t="shared" si="53"/>
        <v>200</v>
      </c>
      <c r="J216" s="175">
        <f t="shared" si="49"/>
        <v>100</v>
      </c>
    </row>
    <row r="217" spans="1:10" ht="36">
      <c r="A217" s="131" t="s">
        <v>72</v>
      </c>
      <c r="B217" s="22" t="s">
        <v>361</v>
      </c>
      <c r="C217" s="22" t="s">
        <v>69</v>
      </c>
      <c r="D217" s="22" t="s">
        <v>86</v>
      </c>
      <c r="E217" s="22" t="s">
        <v>567</v>
      </c>
      <c r="F217" s="22" t="s">
        <v>73</v>
      </c>
      <c r="G217" s="156">
        <f t="shared" si="53"/>
        <v>200</v>
      </c>
      <c r="H217" s="156">
        <f t="shared" si="53"/>
        <v>94.4</v>
      </c>
      <c r="I217" s="156">
        <f t="shared" si="53"/>
        <v>200</v>
      </c>
      <c r="J217" s="156">
        <f t="shared" si="49"/>
        <v>100</v>
      </c>
    </row>
    <row r="218" spans="1:10">
      <c r="A218" s="131" t="s">
        <v>74</v>
      </c>
      <c r="B218" s="22" t="s">
        <v>361</v>
      </c>
      <c r="C218" s="22" t="s">
        <v>69</v>
      </c>
      <c r="D218" s="22" t="s">
        <v>86</v>
      </c>
      <c r="E218" s="22" t="s">
        <v>567</v>
      </c>
      <c r="F218" s="22" t="s">
        <v>75</v>
      </c>
      <c r="G218" s="156">
        <v>200</v>
      </c>
      <c r="H218" s="156">
        <v>94.4</v>
      </c>
      <c r="I218" s="156">
        <v>200</v>
      </c>
      <c r="J218" s="156">
        <f t="shared" si="49"/>
        <v>100</v>
      </c>
    </row>
    <row r="219" spans="1:10">
      <c r="A219" s="133" t="s">
        <v>333</v>
      </c>
      <c r="B219" s="132" t="s">
        <v>361</v>
      </c>
      <c r="C219" s="132" t="s">
        <v>376</v>
      </c>
      <c r="D219" s="132" t="s">
        <v>70</v>
      </c>
      <c r="E219" s="22"/>
      <c r="F219" s="22"/>
      <c r="G219" s="158">
        <f t="shared" ref="G219:I224" si="54">G220</f>
        <v>2000</v>
      </c>
      <c r="H219" s="158">
        <f t="shared" si="54"/>
        <v>1352.3546799999999</v>
      </c>
      <c r="I219" s="158">
        <f t="shared" si="54"/>
        <v>1850</v>
      </c>
      <c r="J219" s="158">
        <f t="shared" si="49"/>
        <v>92.5</v>
      </c>
    </row>
    <row r="220" spans="1:10">
      <c r="A220" s="133" t="s">
        <v>336</v>
      </c>
      <c r="B220" s="132" t="s">
        <v>361</v>
      </c>
      <c r="C220" s="132" t="s">
        <v>376</v>
      </c>
      <c r="D220" s="132" t="s">
        <v>423</v>
      </c>
      <c r="E220" s="140"/>
      <c r="F220" s="140"/>
      <c r="G220" s="158">
        <f t="shared" si="54"/>
        <v>2000</v>
      </c>
      <c r="H220" s="158">
        <f t="shared" si="54"/>
        <v>1352.3546799999999</v>
      </c>
      <c r="I220" s="158">
        <f t="shared" si="54"/>
        <v>1850</v>
      </c>
      <c r="J220" s="158">
        <f t="shared" si="49"/>
        <v>92.5</v>
      </c>
    </row>
    <row r="221" spans="1:10">
      <c r="A221" s="173" t="s">
        <v>67</v>
      </c>
      <c r="B221" s="140" t="s">
        <v>361</v>
      </c>
      <c r="C221" s="140" t="s">
        <v>376</v>
      </c>
      <c r="D221" s="140" t="s">
        <v>423</v>
      </c>
      <c r="E221" s="140" t="s">
        <v>187</v>
      </c>
      <c r="F221" s="140"/>
      <c r="G221" s="175">
        <f t="shared" si="54"/>
        <v>2000</v>
      </c>
      <c r="H221" s="175">
        <f t="shared" si="54"/>
        <v>1352.3546799999999</v>
      </c>
      <c r="I221" s="175">
        <f t="shared" si="54"/>
        <v>1850</v>
      </c>
      <c r="J221" s="175">
        <f t="shared" si="49"/>
        <v>92.5</v>
      </c>
    </row>
    <row r="222" spans="1:10">
      <c r="A222" s="133" t="s">
        <v>272</v>
      </c>
      <c r="B222" s="132" t="s">
        <v>361</v>
      </c>
      <c r="C222" s="132" t="s">
        <v>376</v>
      </c>
      <c r="D222" s="132" t="s">
        <v>423</v>
      </c>
      <c r="E222" s="132" t="s">
        <v>188</v>
      </c>
      <c r="F222" s="132"/>
      <c r="G222" s="158">
        <f t="shared" si="54"/>
        <v>2000</v>
      </c>
      <c r="H222" s="158">
        <f t="shared" si="54"/>
        <v>1352.3546799999999</v>
      </c>
      <c r="I222" s="158">
        <f t="shared" si="54"/>
        <v>1850</v>
      </c>
      <c r="J222" s="158">
        <f t="shared" si="49"/>
        <v>92.5</v>
      </c>
    </row>
    <row r="223" spans="1:10">
      <c r="A223" s="133" t="s">
        <v>502</v>
      </c>
      <c r="B223" s="132" t="s">
        <v>361</v>
      </c>
      <c r="C223" s="132" t="s">
        <v>376</v>
      </c>
      <c r="D223" s="132" t="s">
        <v>423</v>
      </c>
      <c r="E223" s="210" t="s">
        <v>310</v>
      </c>
      <c r="F223" s="132"/>
      <c r="G223" s="158">
        <f t="shared" si="54"/>
        <v>2000</v>
      </c>
      <c r="H223" s="158">
        <f t="shared" si="54"/>
        <v>1352.3546799999999</v>
      </c>
      <c r="I223" s="158">
        <f t="shared" si="54"/>
        <v>1850</v>
      </c>
      <c r="J223" s="158">
        <f t="shared" si="49"/>
        <v>92.5</v>
      </c>
    </row>
    <row r="224" spans="1:10">
      <c r="A224" s="131" t="s">
        <v>486</v>
      </c>
      <c r="B224" s="22" t="s">
        <v>361</v>
      </c>
      <c r="C224" s="22" t="s">
        <v>376</v>
      </c>
      <c r="D224" s="22" t="s">
        <v>423</v>
      </c>
      <c r="E224" s="211" t="s">
        <v>310</v>
      </c>
      <c r="F224" s="22" t="s">
        <v>77</v>
      </c>
      <c r="G224" s="156">
        <f t="shared" si="54"/>
        <v>2000</v>
      </c>
      <c r="H224" s="156">
        <f t="shared" si="54"/>
        <v>1352.3546799999999</v>
      </c>
      <c r="I224" s="156">
        <f t="shared" si="54"/>
        <v>1850</v>
      </c>
      <c r="J224" s="156">
        <f t="shared" si="49"/>
        <v>92.5</v>
      </c>
    </row>
    <row r="225" spans="1:10">
      <c r="A225" s="131" t="s">
        <v>78</v>
      </c>
      <c r="B225" s="22" t="s">
        <v>361</v>
      </c>
      <c r="C225" s="22" t="s">
        <v>376</v>
      </c>
      <c r="D225" s="22" t="s">
        <v>423</v>
      </c>
      <c r="E225" s="211" t="s">
        <v>310</v>
      </c>
      <c r="F225" s="22" t="s">
        <v>79</v>
      </c>
      <c r="G225" s="156">
        <v>2000</v>
      </c>
      <c r="H225" s="156">
        <v>1352.3546799999999</v>
      </c>
      <c r="I225" s="156">
        <f>2000-150</f>
        <v>1850</v>
      </c>
      <c r="J225" s="156">
        <f t="shared" si="49"/>
        <v>92.5</v>
      </c>
    </row>
    <row r="226" spans="1:10">
      <c r="A226" s="133" t="s">
        <v>338</v>
      </c>
      <c r="B226" s="132" t="s">
        <v>361</v>
      </c>
      <c r="C226" s="132" t="s">
        <v>430</v>
      </c>
      <c r="D226" s="132" t="s">
        <v>70</v>
      </c>
      <c r="E226" s="22"/>
      <c r="F226" s="22"/>
      <c r="G226" s="158">
        <f t="shared" ref="G226:I231" si="55">G227</f>
        <v>45</v>
      </c>
      <c r="H226" s="324">
        <f t="shared" si="55"/>
        <v>0</v>
      </c>
      <c r="I226" s="158">
        <f t="shared" si="55"/>
        <v>45</v>
      </c>
      <c r="J226" s="158">
        <f t="shared" si="49"/>
        <v>100</v>
      </c>
    </row>
    <row r="227" spans="1:10">
      <c r="A227" s="133" t="s">
        <v>568</v>
      </c>
      <c r="B227" s="132" t="s">
        <v>361</v>
      </c>
      <c r="C227" s="132" t="s">
        <v>430</v>
      </c>
      <c r="D227" s="132" t="s">
        <v>430</v>
      </c>
      <c r="E227" s="132"/>
      <c r="F227" s="132"/>
      <c r="G227" s="158">
        <f t="shared" si="55"/>
        <v>45</v>
      </c>
      <c r="H227" s="324">
        <f t="shared" si="55"/>
        <v>0</v>
      </c>
      <c r="I227" s="158">
        <f t="shared" si="55"/>
        <v>45</v>
      </c>
      <c r="J227" s="158">
        <f t="shared" si="49"/>
        <v>100</v>
      </c>
    </row>
    <row r="228" spans="1:10">
      <c r="A228" s="173" t="s">
        <v>67</v>
      </c>
      <c r="B228" s="140" t="s">
        <v>361</v>
      </c>
      <c r="C228" s="140" t="s">
        <v>430</v>
      </c>
      <c r="D228" s="140" t="s">
        <v>430</v>
      </c>
      <c r="E228" s="140" t="s">
        <v>187</v>
      </c>
      <c r="F228" s="140"/>
      <c r="G228" s="175">
        <f t="shared" si="55"/>
        <v>45</v>
      </c>
      <c r="H228" s="325">
        <f t="shared" si="55"/>
        <v>0</v>
      </c>
      <c r="I228" s="175">
        <f t="shared" si="55"/>
        <v>45</v>
      </c>
      <c r="J228" s="175">
        <f t="shared" si="49"/>
        <v>100</v>
      </c>
    </row>
    <row r="229" spans="1:10">
      <c r="A229" s="212" t="s">
        <v>272</v>
      </c>
      <c r="B229" s="132" t="s">
        <v>361</v>
      </c>
      <c r="C229" s="132" t="s">
        <v>430</v>
      </c>
      <c r="D229" s="132" t="s">
        <v>430</v>
      </c>
      <c r="E229" s="132" t="s">
        <v>188</v>
      </c>
      <c r="F229" s="132"/>
      <c r="G229" s="158">
        <f t="shared" si="55"/>
        <v>45</v>
      </c>
      <c r="H229" s="324">
        <f t="shared" si="55"/>
        <v>0</v>
      </c>
      <c r="I229" s="158">
        <f t="shared" si="55"/>
        <v>45</v>
      </c>
      <c r="J229" s="158">
        <f t="shared" si="49"/>
        <v>100</v>
      </c>
    </row>
    <row r="230" spans="1:10">
      <c r="A230" s="173" t="s">
        <v>290</v>
      </c>
      <c r="B230" s="140" t="s">
        <v>361</v>
      </c>
      <c r="C230" s="140" t="s">
        <v>430</v>
      </c>
      <c r="D230" s="140" t="s">
        <v>430</v>
      </c>
      <c r="E230" s="140" t="s">
        <v>477</v>
      </c>
      <c r="F230" s="140"/>
      <c r="G230" s="175">
        <f t="shared" si="55"/>
        <v>45</v>
      </c>
      <c r="H230" s="325">
        <f t="shared" si="55"/>
        <v>0</v>
      </c>
      <c r="I230" s="175">
        <f t="shared" si="55"/>
        <v>45</v>
      </c>
      <c r="J230" s="175">
        <f t="shared" si="49"/>
        <v>100</v>
      </c>
    </row>
    <row r="231" spans="1:10">
      <c r="A231" s="131" t="s">
        <v>486</v>
      </c>
      <c r="B231" s="22" t="s">
        <v>361</v>
      </c>
      <c r="C231" s="22" t="s">
        <v>430</v>
      </c>
      <c r="D231" s="22" t="s">
        <v>430</v>
      </c>
      <c r="E231" s="22" t="s">
        <v>477</v>
      </c>
      <c r="F231" s="22" t="s">
        <v>77</v>
      </c>
      <c r="G231" s="156">
        <f t="shared" si="55"/>
        <v>45</v>
      </c>
      <c r="H231" s="323">
        <f t="shared" si="55"/>
        <v>0</v>
      </c>
      <c r="I231" s="156">
        <f t="shared" si="55"/>
        <v>45</v>
      </c>
      <c r="J231" s="156">
        <f t="shared" si="49"/>
        <v>100</v>
      </c>
    </row>
    <row r="232" spans="1:10">
      <c r="A232" s="131" t="s">
        <v>78</v>
      </c>
      <c r="B232" s="22" t="s">
        <v>361</v>
      </c>
      <c r="C232" s="22" t="s">
        <v>430</v>
      </c>
      <c r="D232" s="22" t="s">
        <v>430</v>
      </c>
      <c r="E232" s="22" t="s">
        <v>477</v>
      </c>
      <c r="F232" s="22" t="s">
        <v>79</v>
      </c>
      <c r="G232" s="156">
        <f>187.5-142.5</f>
        <v>45</v>
      </c>
      <c r="H232" s="323">
        <v>0</v>
      </c>
      <c r="I232" s="156">
        <f>187.5-142.5</f>
        <v>45</v>
      </c>
      <c r="J232" s="156">
        <f t="shared" si="49"/>
        <v>100</v>
      </c>
    </row>
    <row r="233" spans="1:10" ht="31.5">
      <c r="A233" s="213" t="s">
        <v>569</v>
      </c>
      <c r="B233" s="214" t="s">
        <v>362</v>
      </c>
      <c r="C233" s="151"/>
      <c r="D233" s="151"/>
      <c r="E233" s="214"/>
      <c r="F233" s="214"/>
      <c r="G233" s="215">
        <f>G234+G261+G268</f>
        <v>13345.168000000001</v>
      </c>
      <c r="H233" s="215">
        <f>H234+H261+H268</f>
        <v>10405.01088</v>
      </c>
      <c r="I233" s="215">
        <f>I234+I261+I268</f>
        <v>13195.168000000001</v>
      </c>
      <c r="J233" s="215">
        <f t="shared" si="49"/>
        <v>98.875997664473019</v>
      </c>
    </row>
    <row r="234" spans="1:10">
      <c r="A234" s="133" t="s">
        <v>103</v>
      </c>
      <c r="B234" s="132" t="s">
        <v>362</v>
      </c>
      <c r="C234" s="132" t="s">
        <v>69</v>
      </c>
      <c r="D234" s="132" t="s">
        <v>70</v>
      </c>
      <c r="E234" s="132"/>
      <c r="F234" s="132"/>
      <c r="G234" s="158">
        <f>G235+G249+G255</f>
        <v>11300.168000000001</v>
      </c>
      <c r="H234" s="158">
        <f>H235+H249+H255</f>
        <v>9356.3015199999991</v>
      </c>
      <c r="I234" s="158">
        <f>I235+I249+I255</f>
        <v>11369.168000000001</v>
      </c>
      <c r="J234" s="158">
        <f t="shared" si="49"/>
        <v>100.61061039092516</v>
      </c>
    </row>
    <row r="235" spans="1:10" ht="24">
      <c r="A235" s="133" t="s">
        <v>280</v>
      </c>
      <c r="B235" s="132" t="s">
        <v>362</v>
      </c>
      <c r="C235" s="132" t="s">
        <v>69</v>
      </c>
      <c r="D235" s="132" t="s">
        <v>71</v>
      </c>
      <c r="E235" s="132"/>
      <c r="F235" s="132"/>
      <c r="G235" s="158">
        <f t="shared" ref="G235:I236" si="56">G236</f>
        <v>11054.493000000002</v>
      </c>
      <c r="H235" s="158">
        <f t="shared" si="56"/>
        <v>9272.5015199999998</v>
      </c>
      <c r="I235" s="158">
        <f t="shared" si="56"/>
        <v>11123.493000000002</v>
      </c>
      <c r="J235" s="158">
        <f t="shared" si="49"/>
        <v>100.62418059335694</v>
      </c>
    </row>
    <row r="236" spans="1:10">
      <c r="A236" s="173" t="s">
        <v>67</v>
      </c>
      <c r="B236" s="140" t="s">
        <v>362</v>
      </c>
      <c r="C236" s="140" t="s">
        <v>69</v>
      </c>
      <c r="D236" s="140" t="s">
        <v>71</v>
      </c>
      <c r="E236" s="140" t="s">
        <v>187</v>
      </c>
      <c r="F236" s="140"/>
      <c r="G236" s="175">
        <f t="shared" si="56"/>
        <v>11054.493000000002</v>
      </c>
      <c r="H236" s="175">
        <f t="shared" si="56"/>
        <v>9272.5015199999998</v>
      </c>
      <c r="I236" s="175">
        <f t="shared" si="56"/>
        <v>11123.493000000002</v>
      </c>
      <c r="J236" s="175">
        <f t="shared" si="49"/>
        <v>100.62418059335694</v>
      </c>
    </row>
    <row r="237" spans="1:10">
      <c r="A237" s="212" t="s">
        <v>272</v>
      </c>
      <c r="B237" s="132" t="s">
        <v>362</v>
      </c>
      <c r="C237" s="132" t="s">
        <v>69</v>
      </c>
      <c r="D237" s="132" t="s">
        <v>71</v>
      </c>
      <c r="E237" s="132" t="s">
        <v>188</v>
      </c>
      <c r="F237" s="132"/>
      <c r="G237" s="158">
        <f>G238+G241+G246</f>
        <v>11054.493000000002</v>
      </c>
      <c r="H237" s="158">
        <f>H238+H241+H246</f>
        <v>9272.5015199999998</v>
      </c>
      <c r="I237" s="158">
        <f>I238+I241+I246</f>
        <v>11123.493000000002</v>
      </c>
      <c r="J237" s="158">
        <f t="shared" si="49"/>
        <v>100.62418059335694</v>
      </c>
    </row>
    <row r="238" spans="1:10">
      <c r="A238" s="212" t="s">
        <v>271</v>
      </c>
      <c r="B238" s="132" t="s">
        <v>362</v>
      </c>
      <c r="C238" s="132" t="s">
        <v>69</v>
      </c>
      <c r="D238" s="132" t="s">
        <v>71</v>
      </c>
      <c r="E238" s="132" t="s">
        <v>189</v>
      </c>
      <c r="F238" s="132"/>
      <c r="G238" s="158">
        <f t="shared" ref="G238:I239" si="57">G239</f>
        <v>8599.8840000000018</v>
      </c>
      <c r="H238" s="158">
        <f t="shared" si="57"/>
        <v>7732.4093700000003</v>
      </c>
      <c r="I238" s="158">
        <f t="shared" si="57"/>
        <v>8599.8840000000018</v>
      </c>
      <c r="J238" s="158">
        <f t="shared" si="49"/>
        <v>100</v>
      </c>
    </row>
    <row r="239" spans="1:10" ht="36">
      <c r="A239" s="131" t="s">
        <v>72</v>
      </c>
      <c r="B239" s="22" t="s">
        <v>362</v>
      </c>
      <c r="C239" s="22" t="s">
        <v>69</v>
      </c>
      <c r="D239" s="22" t="s">
        <v>71</v>
      </c>
      <c r="E239" s="22" t="s">
        <v>189</v>
      </c>
      <c r="F239" s="22" t="s">
        <v>73</v>
      </c>
      <c r="G239" s="156">
        <f t="shared" si="57"/>
        <v>8599.8840000000018</v>
      </c>
      <c r="H239" s="156">
        <f t="shared" si="57"/>
        <v>7732.4093700000003</v>
      </c>
      <c r="I239" s="156">
        <f t="shared" si="57"/>
        <v>8599.8840000000018</v>
      </c>
      <c r="J239" s="156">
        <f t="shared" si="49"/>
        <v>100</v>
      </c>
    </row>
    <row r="240" spans="1:10">
      <c r="A240" s="131" t="s">
        <v>74</v>
      </c>
      <c r="B240" s="22" t="s">
        <v>362</v>
      </c>
      <c r="C240" s="22" t="s">
        <v>69</v>
      </c>
      <c r="D240" s="22" t="s">
        <v>71</v>
      </c>
      <c r="E240" s="22" t="s">
        <v>189</v>
      </c>
      <c r="F240" s="22" t="s">
        <v>75</v>
      </c>
      <c r="G240" s="156">
        <f>7568.8+1348.3+418.7-735.916</f>
        <v>8599.8840000000018</v>
      </c>
      <c r="H240" s="156">
        <v>7732.4093700000003</v>
      </c>
      <c r="I240" s="156">
        <f>7568.8+1348.3+418.7-735.916</f>
        <v>8599.8840000000018</v>
      </c>
      <c r="J240" s="156">
        <f t="shared" si="49"/>
        <v>100</v>
      </c>
    </row>
    <row r="241" spans="1:10">
      <c r="A241" s="133" t="s">
        <v>76</v>
      </c>
      <c r="B241" s="132" t="s">
        <v>362</v>
      </c>
      <c r="C241" s="132" t="s">
        <v>69</v>
      </c>
      <c r="D241" s="132" t="s">
        <v>71</v>
      </c>
      <c r="E241" s="132" t="s">
        <v>190</v>
      </c>
      <c r="F241" s="132"/>
      <c r="G241" s="158">
        <f>G242+G244</f>
        <v>2200</v>
      </c>
      <c r="H241" s="158">
        <f>H242+H244</f>
        <v>1540.0921499999999</v>
      </c>
      <c r="I241" s="158">
        <f>I242+I244</f>
        <v>2269</v>
      </c>
      <c r="J241" s="158">
        <f t="shared" si="49"/>
        <v>103.13636363636363</v>
      </c>
    </row>
    <row r="242" spans="1:10">
      <c r="A242" s="131" t="s">
        <v>486</v>
      </c>
      <c r="B242" s="22" t="s">
        <v>362</v>
      </c>
      <c r="C242" s="22" t="s">
        <v>69</v>
      </c>
      <c r="D242" s="22" t="s">
        <v>71</v>
      </c>
      <c r="E242" s="22" t="s">
        <v>190</v>
      </c>
      <c r="F242" s="22" t="s">
        <v>77</v>
      </c>
      <c r="G242" s="156">
        <f>G243</f>
        <v>2055</v>
      </c>
      <c r="H242" s="156">
        <f>H243</f>
        <v>1449.0941499999999</v>
      </c>
      <c r="I242" s="156">
        <f>I243</f>
        <v>2124</v>
      </c>
      <c r="J242" s="156">
        <f t="shared" si="49"/>
        <v>103.35766423357664</v>
      </c>
    </row>
    <row r="243" spans="1:10">
      <c r="A243" s="131" t="s">
        <v>78</v>
      </c>
      <c r="B243" s="22" t="s">
        <v>362</v>
      </c>
      <c r="C243" s="22" t="s">
        <v>69</v>
      </c>
      <c r="D243" s="22" t="s">
        <v>71</v>
      </c>
      <c r="E243" s="22" t="s">
        <v>190</v>
      </c>
      <c r="F243" s="22" t="s">
        <v>79</v>
      </c>
      <c r="G243" s="156">
        <f>1955+100</f>
        <v>2055</v>
      </c>
      <c r="H243" s="156">
        <v>1449.0941499999999</v>
      </c>
      <c r="I243" s="156">
        <f>1955+100+69</f>
        <v>2124</v>
      </c>
      <c r="J243" s="156">
        <f t="shared" si="49"/>
        <v>103.35766423357664</v>
      </c>
    </row>
    <row r="244" spans="1:10">
      <c r="A244" s="131" t="s">
        <v>80</v>
      </c>
      <c r="B244" s="22" t="s">
        <v>362</v>
      </c>
      <c r="C244" s="22" t="s">
        <v>69</v>
      </c>
      <c r="D244" s="22" t="s">
        <v>71</v>
      </c>
      <c r="E244" s="22" t="s">
        <v>190</v>
      </c>
      <c r="F244" s="22" t="s">
        <v>81</v>
      </c>
      <c r="G244" s="156">
        <f>G245</f>
        <v>145</v>
      </c>
      <c r="H244" s="156">
        <f>H245</f>
        <v>90.998000000000005</v>
      </c>
      <c r="I244" s="156">
        <f>I245</f>
        <v>145</v>
      </c>
      <c r="J244" s="156">
        <f t="shared" si="49"/>
        <v>100</v>
      </c>
    </row>
    <row r="245" spans="1:10">
      <c r="A245" s="131" t="s">
        <v>445</v>
      </c>
      <c r="B245" s="22" t="s">
        <v>362</v>
      </c>
      <c r="C245" s="22" t="s">
        <v>69</v>
      </c>
      <c r="D245" s="22" t="s">
        <v>71</v>
      </c>
      <c r="E245" s="22" t="s">
        <v>190</v>
      </c>
      <c r="F245" s="22" t="s">
        <v>82</v>
      </c>
      <c r="G245" s="156">
        <v>145</v>
      </c>
      <c r="H245" s="156">
        <v>90.998000000000005</v>
      </c>
      <c r="I245" s="156">
        <v>145</v>
      </c>
      <c r="J245" s="156">
        <f t="shared" si="49"/>
        <v>100</v>
      </c>
    </row>
    <row r="246" spans="1:10">
      <c r="A246" s="133" t="s">
        <v>774</v>
      </c>
      <c r="B246" s="132" t="s">
        <v>362</v>
      </c>
      <c r="C246" s="132" t="s">
        <v>69</v>
      </c>
      <c r="D246" s="132" t="s">
        <v>71</v>
      </c>
      <c r="E246" s="132" t="s">
        <v>769</v>
      </c>
      <c r="F246" s="132"/>
      <c r="G246" s="158">
        <f t="shared" ref="G246:I247" si="58">G247</f>
        <v>254.60900000000001</v>
      </c>
      <c r="H246" s="324">
        <f t="shared" si="58"/>
        <v>0</v>
      </c>
      <c r="I246" s="158">
        <f t="shared" si="58"/>
        <v>254.60900000000001</v>
      </c>
      <c r="J246" s="158">
        <f t="shared" si="49"/>
        <v>100</v>
      </c>
    </row>
    <row r="247" spans="1:10" ht="36">
      <c r="A247" s="131" t="s">
        <v>72</v>
      </c>
      <c r="B247" s="22" t="s">
        <v>362</v>
      </c>
      <c r="C247" s="22" t="s">
        <v>69</v>
      </c>
      <c r="D247" s="22" t="s">
        <v>71</v>
      </c>
      <c r="E247" s="22" t="s">
        <v>769</v>
      </c>
      <c r="F247" s="22" t="s">
        <v>73</v>
      </c>
      <c r="G247" s="156">
        <f t="shared" si="58"/>
        <v>254.60900000000001</v>
      </c>
      <c r="H247" s="323">
        <f t="shared" si="58"/>
        <v>0</v>
      </c>
      <c r="I247" s="156">
        <f t="shared" si="58"/>
        <v>254.60900000000001</v>
      </c>
      <c r="J247" s="156">
        <f t="shared" si="49"/>
        <v>100</v>
      </c>
    </row>
    <row r="248" spans="1:10">
      <c r="A248" s="131" t="s">
        <v>74</v>
      </c>
      <c r="B248" s="22" t="s">
        <v>362</v>
      </c>
      <c r="C248" s="22" t="s">
        <v>69</v>
      </c>
      <c r="D248" s="22" t="s">
        <v>71</v>
      </c>
      <c r="E248" s="22" t="s">
        <v>769</v>
      </c>
      <c r="F248" s="22" t="s">
        <v>75</v>
      </c>
      <c r="G248" s="156">
        <v>254.60900000000001</v>
      </c>
      <c r="H248" s="323">
        <v>0</v>
      </c>
      <c r="I248" s="156">
        <v>254.60900000000001</v>
      </c>
      <c r="J248" s="156">
        <f t="shared" si="49"/>
        <v>100</v>
      </c>
    </row>
    <row r="249" spans="1:10">
      <c r="A249" s="133" t="s">
        <v>395</v>
      </c>
      <c r="B249" s="132" t="s">
        <v>362</v>
      </c>
      <c r="C249" s="132" t="s">
        <v>69</v>
      </c>
      <c r="D249" s="132" t="s">
        <v>376</v>
      </c>
      <c r="E249" s="132"/>
      <c r="F249" s="132"/>
      <c r="G249" s="158">
        <f t="shared" ref="G249:I253" si="59">G250</f>
        <v>45.674999999999997</v>
      </c>
      <c r="H249" s="324">
        <f t="shared" si="59"/>
        <v>0</v>
      </c>
      <c r="I249" s="158">
        <f t="shared" si="59"/>
        <v>45.674999999999997</v>
      </c>
      <c r="J249" s="158">
        <f t="shared" si="49"/>
        <v>100</v>
      </c>
    </row>
    <row r="250" spans="1:10">
      <c r="A250" s="173" t="s">
        <v>67</v>
      </c>
      <c r="B250" s="140" t="s">
        <v>362</v>
      </c>
      <c r="C250" s="140" t="s">
        <v>69</v>
      </c>
      <c r="D250" s="140" t="s">
        <v>376</v>
      </c>
      <c r="E250" s="140" t="s">
        <v>187</v>
      </c>
      <c r="F250" s="22"/>
      <c r="G250" s="175">
        <f t="shared" si="59"/>
        <v>45.674999999999997</v>
      </c>
      <c r="H250" s="325">
        <f t="shared" si="59"/>
        <v>0</v>
      </c>
      <c r="I250" s="175">
        <f t="shared" si="59"/>
        <v>45.674999999999997</v>
      </c>
      <c r="J250" s="175">
        <f t="shared" si="49"/>
        <v>100</v>
      </c>
    </row>
    <row r="251" spans="1:10">
      <c r="A251" s="212" t="s">
        <v>272</v>
      </c>
      <c r="B251" s="132" t="s">
        <v>362</v>
      </c>
      <c r="C251" s="132" t="s">
        <v>69</v>
      </c>
      <c r="D251" s="132" t="s">
        <v>376</v>
      </c>
      <c r="E251" s="132" t="s">
        <v>188</v>
      </c>
      <c r="F251" s="22"/>
      <c r="G251" s="158">
        <f t="shared" si="59"/>
        <v>45.674999999999997</v>
      </c>
      <c r="H251" s="324">
        <f t="shared" si="59"/>
        <v>0</v>
      </c>
      <c r="I251" s="158">
        <f t="shared" si="59"/>
        <v>45.674999999999997</v>
      </c>
      <c r="J251" s="158">
        <f t="shared" si="49"/>
        <v>100</v>
      </c>
    </row>
    <row r="252" spans="1:10" ht="24">
      <c r="A252" s="133" t="s">
        <v>398</v>
      </c>
      <c r="B252" s="132" t="s">
        <v>362</v>
      </c>
      <c r="C252" s="132" t="s">
        <v>69</v>
      </c>
      <c r="D252" s="132" t="s">
        <v>376</v>
      </c>
      <c r="E252" s="132" t="s">
        <v>313</v>
      </c>
      <c r="F252" s="132"/>
      <c r="G252" s="158">
        <f t="shared" si="59"/>
        <v>45.674999999999997</v>
      </c>
      <c r="H252" s="324">
        <f t="shared" si="59"/>
        <v>0</v>
      </c>
      <c r="I252" s="158">
        <f t="shared" si="59"/>
        <v>45.674999999999997</v>
      </c>
      <c r="J252" s="158">
        <f t="shared" si="49"/>
        <v>100</v>
      </c>
    </row>
    <row r="253" spans="1:10">
      <c r="A253" s="131" t="s">
        <v>486</v>
      </c>
      <c r="B253" s="22" t="s">
        <v>362</v>
      </c>
      <c r="C253" s="22" t="s">
        <v>69</v>
      </c>
      <c r="D253" s="22" t="s">
        <v>376</v>
      </c>
      <c r="E253" s="22" t="s">
        <v>313</v>
      </c>
      <c r="F253" s="22" t="s">
        <v>77</v>
      </c>
      <c r="G253" s="156">
        <f t="shared" si="59"/>
        <v>45.674999999999997</v>
      </c>
      <c r="H253" s="323">
        <f t="shared" si="59"/>
        <v>0</v>
      </c>
      <c r="I253" s="156">
        <f t="shared" si="59"/>
        <v>45.674999999999997</v>
      </c>
      <c r="J253" s="156">
        <f t="shared" si="49"/>
        <v>100</v>
      </c>
    </row>
    <row r="254" spans="1:10">
      <c r="A254" s="131" t="s">
        <v>78</v>
      </c>
      <c r="B254" s="22" t="s">
        <v>362</v>
      </c>
      <c r="C254" s="22" t="s">
        <v>69</v>
      </c>
      <c r="D254" s="22" t="s">
        <v>376</v>
      </c>
      <c r="E254" s="22" t="s">
        <v>313</v>
      </c>
      <c r="F254" s="22" t="s">
        <v>79</v>
      </c>
      <c r="G254" s="156">
        <v>45.674999999999997</v>
      </c>
      <c r="H254" s="323">
        <v>0</v>
      </c>
      <c r="I254" s="156">
        <v>45.674999999999997</v>
      </c>
      <c r="J254" s="156">
        <f t="shared" si="49"/>
        <v>100</v>
      </c>
    </row>
    <row r="255" spans="1:10">
      <c r="A255" s="135" t="s">
        <v>285</v>
      </c>
      <c r="B255" s="132" t="s">
        <v>362</v>
      </c>
      <c r="C255" s="132" t="s">
        <v>69</v>
      </c>
      <c r="D255" s="132" t="s">
        <v>86</v>
      </c>
      <c r="E255" s="132"/>
      <c r="F255" s="132"/>
      <c r="G255" s="158">
        <f t="shared" ref="G255:I259" si="60">G256</f>
        <v>200</v>
      </c>
      <c r="H255" s="158">
        <f t="shared" si="60"/>
        <v>83.8</v>
      </c>
      <c r="I255" s="158">
        <f t="shared" si="60"/>
        <v>200</v>
      </c>
      <c r="J255" s="158">
        <f t="shared" si="49"/>
        <v>100</v>
      </c>
    </row>
    <row r="256" spans="1:10" ht="27">
      <c r="A256" s="235" t="s">
        <v>478</v>
      </c>
      <c r="B256" s="144" t="s">
        <v>362</v>
      </c>
      <c r="C256" s="144" t="s">
        <v>69</v>
      </c>
      <c r="D256" s="144" t="s">
        <v>86</v>
      </c>
      <c r="E256" s="144" t="s">
        <v>93</v>
      </c>
      <c r="F256" s="144"/>
      <c r="G256" s="218">
        <f t="shared" si="60"/>
        <v>200</v>
      </c>
      <c r="H256" s="218">
        <f t="shared" si="60"/>
        <v>83.8</v>
      </c>
      <c r="I256" s="218">
        <f t="shared" si="60"/>
        <v>200</v>
      </c>
      <c r="J256" s="218">
        <f t="shared" si="49"/>
        <v>100</v>
      </c>
    </row>
    <row r="257" spans="1:10">
      <c r="A257" s="135" t="s">
        <v>438</v>
      </c>
      <c r="B257" s="132" t="s">
        <v>362</v>
      </c>
      <c r="C257" s="132" t="s">
        <v>69</v>
      </c>
      <c r="D257" s="132" t="s">
        <v>86</v>
      </c>
      <c r="E257" s="132" t="s">
        <v>439</v>
      </c>
      <c r="F257" s="132"/>
      <c r="G257" s="158">
        <f t="shared" si="60"/>
        <v>200</v>
      </c>
      <c r="H257" s="158">
        <f t="shared" si="60"/>
        <v>83.8</v>
      </c>
      <c r="I257" s="158">
        <f t="shared" si="60"/>
        <v>200</v>
      </c>
      <c r="J257" s="158">
        <f t="shared" si="49"/>
        <v>100</v>
      </c>
    </row>
    <row r="258" spans="1:10">
      <c r="A258" s="236" t="s">
        <v>566</v>
      </c>
      <c r="B258" s="140" t="s">
        <v>362</v>
      </c>
      <c r="C258" s="140" t="s">
        <v>69</v>
      </c>
      <c r="D258" s="140" t="s">
        <v>86</v>
      </c>
      <c r="E258" s="140" t="s">
        <v>567</v>
      </c>
      <c r="F258" s="140"/>
      <c r="G258" s="175">
        <f t="shared" si="60"/>
        <v>200</v>
      </c>
      <c r="H258" s="175">
        <f t="shared" si="60"/>
        <v>83.8</v>
      </c>
      <c r="I258" s="175">
        <f t="shared" si="60"/>
        <v>200</v>
      </c>
      <c r="J258" s="175">
        <f t="shared" si="49"/>
        <v>100</v>
      </c>
    </row>
    <row r="259" spans="1:10" ht="36">
      <c r="A259" s="131" t="s">
        <v>72</v>
      </c>
      <c r="B259" s="22" t="s">
        <v>362</v>
      </c>
      <c r="C259" s="22" t="s">
        <v>69</v>
      </c>
      <c r="D259" s="22" t="s">
        <v>86</v>
      </c>
      <c r="E259" s="22" t="s">
        <v>567</v>
      </c>
      <c r="F259" s="22" t="s">
        <v>73</v>
      </c>
      <c r="G259" s="156">
        <f t="shared" si="60"/>
        <v>200</v>
      </c>
      <c r="H259" s="156">
        <f t="shared" si="60"/>
        <v>83.8</v>
      </c>
      <c r="I259" s="156">
        <f t="shared" si="60"/>
        <v>200</v>
      </c>
      <c r="J259" s="156">
        <f t="shared" si="49"/>
        <v>100</v>
      </c>
    </row>
    <row r="260" spans="1:10">
      <c r="A260" s="131" t="s">
        <v>74</v>
      </c>
      <c r="B260" s="22" t="s">
        <v>362</v>
      </c>
      <c r="C260" s="22" t="s">
        <v>69</v>
      </c>
      <c r="D260" s="22" t="s">
        <v>86</v>
      </c>
      <c r="E260" s="22" t="s">
        <v>567</v>
      </c>
      <c r="F260" s="22" t="s">
        <v>75</v>
      </c>
      <c r="G260" s="156">
        <v>200</v>
      </c>
      <c r="H260" s="156">
        <v>83.8</v>
      </c>
      <c r="I260" s="156">
        <v>200</v>
      </c>
      <c r="J260" s="156">
        <f t="shared" si="49"/>
        <v>100</v>
      </c>
    </row>
    <row r="261" spans="1:10">
      <c r="A261" s="133" t="s">
        <v>333</v>
      </c>
      <c r="B261" s="132" t="s">
        <v>362</v>
      </c>
      <c r="C261" s="132" t="s">
        <v>376</v>
      </c>
      <c r="D261" s="132" t="s">
        <v>70</v>
      </c>
      <c r="E261" s="22"/>
      <c r="F261" s="22"/>
      <c r="G261" s="158">
        <f t="shared" ref="G261:I266" si="61">G262</f>
        <v>2000</v>
      </c>
      <c r="H261" s="158">
        <f t="shared" si="61"/>
        <v>1048.7093600000001</v>
      </c>
      <c r="I261" s="158">
        <f t="shared" si="61"/>
        <v>1781</v>
      </c>
      <c r="J261" s="158">
        <f t="shared" si="49"/>
        <v>89.05</v>
      </c>
    </row>
    <row r="262" spans="1:10">
      <c r="A262" s="133" t="s">
        <v>336</v>
      </c>
      <c r="B262" s="132" t="s">
        <v>362</v>
      </c>
      <c r="C262" s="132" t="s">
        <v>376</v>
      </c>
      <c r="D262" s="132" t="s">
        <v>423</v>
      </c>
      <c r="E262" s="140"/>
      <c r="F262" s="140"/>
      <c r="G262" s="158">
        <f t="shared" si="61"/>
        <v>2000</v>
      </c>
      <c r="H262" s="158">
        <f t="shared" si="61"/>
        <v>1048.7093600000001</v>
      </c>
      <c r="I262" s="158">
        <f t="shared" si="61"/>
        <v>1781</v>
      </c>
      <c r="J262" s="158">
        <f t="shared" si="49"/>
        <v>89.05</v>
      </c>
    </row>
    <row r="263" spans="1:10">
      <c r="A263" s="173" t="s">
        <v>67</v>
      </c>
      <c r="B263" s="140" t="s">
        <v>362</v>
      </c>
      <c r="C263" s="140" t="s">
        <v>376</v>
      </c>
      <c r="D263" s="140" t="s">
        <v>423</v>
      </c>
      <c r="E263" s="140" t="s">
        <v>187</v>
      </c>
      <c r="F263" s="140"/>
      <c r="G263" s="175">
        <f t="shared" si="61"/>
        <v>2000</v>
      </c>
      <c r="H263" s="175">
        <f t="shared" si="61"/>
        <v>1048.7093600000001</v>
      </c>
      <c r="I263" s="175">
        <f t="shared" si="61"/>
        <v>1781</v>
      </c>
      <c r="J263" s="175">
        <f t="shared" si="49"/>
        <v>89.05</v>
      </c>
    </row>
    <row r="264" spans="1:10">
      <c r="A264" s="133" t="s">
        <v>272</v>
      </c>
      <c r="B264" s="132" t="s">
        <v>362</v>
      </c>
      <c r="C264" s="132" t="s">
        <v>376</v>
      </c>
      <c r="D264" s="132" t="s">
        <v>423</v>
      </c>
      <c r="E264" s="132" t="s">
        <v>188</v>
      </c>
      <c r="F264" s="132"/>
      <c r="G264" s="158">
        <f t="shared" si="61"/>
        <v>2000</v>
      </c>
      <c r="H264" s="158">
        <f t="shared" si="61"/>
        <v>1048.7093600000001</v>
      </c>
      <c r="I264" s="158">
        <f t="shared" si="61"/>
        <v>1781</v>
      </c>
      <c r="J264" s="158">
        <f t="shared" ref="J264:J327" si="62">I264/G264*100</f>
        <v>89.05</v>
      </c>
    </row>
    <row r="265" spans="1:10">
      <c r="A265" s="133" t="s">
        <v>502</v>
      </c>
      <c r="B265" s="132" t="s">
        <v>362</v>
      </c>
      <c r="C265" s="132" t="s">
        <v>376</v>
      </c>
      <c r="D265" s="132" t="s">
        <v>423</v>
      </c>
      <c r="E265" s="210" t="s">
        <v>310</v>
      </c>
      <c r="F265" s="132"/>
      <c r="G265" s="158">
        <f t="shared" si="61"/>
        <v>2000</v>
      </c>
      <c r="H265" s="158">
        <f t="shared" si="61"/>
        <v>1048.7093600000001</v>
      </c>
      <c r="I265" s="158">
        <f t="shared" si="61"/>
        <v>1781</v>
      </c>
      <c r="J265" s="158">
        <f t="shared" si="62"/>
        <v>89.05</v>
      </c>
    </row>
    <row r="266" spans="1:10">
      <c r="A266" s="131" t="s">
        <v>486</v>
      </c>
      <c r="B266" s="22" t="s">
        <v>362</v>
      </c>
      <c r="C266" s="22" t="s">
        <v>376</v>
      </c>
      <c r="D266" s="22" t="s">
        <v>423</v>
      </c>
      <c r="E266" s="211" t="s">
        <v>310</v>
      </c>
      <c r="F266" s="22" t="s">
        <v>77</v>
      </c>
      <c r="G266" s="156">
        <f t="shared" si="61"/>
        <v>2000</v>
      </c>
      <c r="H266" s="156">
        <f t="shared" si="61"/>
        <v>1048.7093600000001</v>
      </c>
      <c r="I266" s="156">
        <f t="shared" si="61"/>
        <v>1781</v>
      </c>
      <c r="J266" s="156">
        <f t="shared" si="62"/>
        <v>89.05</v>
      </c>
    </row>
    <row r="267" spans="1:10">
      <c r="A267" s="131" t="s">
        <v>78</v>
      </c>
      <c r="B267" s="22" t="s">
        <v>362</v>
      </c>
      <c r="C267" s="22" t="s">
        <v>376</v>
      </c>
      <c r="D267" s="22" t="s">
        <v>423</v>
      </c>
      <c r="E267" s="211" t="s">
        <v>310</v>
      </c>
      <c r="F267" s="22" t="s">
        <v>79</v>
      </c>
      <c r="G267" s="156">
        <f>2000</f>
        <v>2000</v>
      </c>
      <c r="H267" s="156">
        <v>1048.7093600000001</v>
      </c>
      <c r="I267" s="156">
        <f>2000-69-150</f>
        <v>1781</v>
      </c>
      <c r="J267" s="156">
        <f t="shared" si="62"/>
        <v>89.05</v>
      </c>
    </row>
    <row r="268" spans="1:10">
      <c r="A268" s="133" t="s">
        <v>338</v>
      </c>
      <c r="B268" s="132" t="s">
        <v>362</v>
      </c>
      <c r="C268" s="132" t="s">
        <v>430</v>
      </c>
      <c r="D268" s="132" t="s">
        <v>70</v>
      </c>
      <c r="E268" s="22"/>
      <c r="F268" s="22"/>
      <c r="G268" s="158">
        <f t="shared" ref="G268:I273" si="63">G269</f>
        <v>45</v>
      </c>
      <c r="H268" s="324">
        <f t="shared" si="63"/>
        <v>0</v>
      </c>
      <c r="I268" s="158">
        <f t="shared" si="63"/>
        <v>45</v>
      </c>
      <c r="J268" s="158">
        <f t="shared" si="62"/>
        <v>100</v>
      </c>
    </row>
    <row r="269" spans="1:10">
      <c r="A269" s="133" t="s">
        <v>568</v>
      </c>
      <c r="B269" s="132" t="s">
        <v>362</v>
      </c>
      <c r="C269" s="132" t="s">
        <v>430</v>
      </c>
      <c r="D269" s="132" t="s">
        <v>430</v>
      </c>
      <c r="E269" s="132"/>
      <c r="F269" s="132"/>
      <c r="G269" s="158">
        <f t="shared" si="63"/>
        <v>45</v>
      </c>
      <c r="H269" s="324">
        <f t="shared" si="63"/>
        <v>0</v>
      </c>
      <c r="I269" s="158">
        <f t="shared" si="63"/>
        <v>45</v>
      </c>
      <c r="J269" s="158">
        <f t="shared" si="62"/>
        <v>100</v>
      </c>
    </row>
    <row r="270" spans="1:10">
      <c r="A270" s="173" t="s">
        <v>67</v>
      </c>
      <c r="B270" s="140" t="s">
        <v>362</v>
      </c>
      <c r="C270" s="140" t="s">
        <v>430</v>
      </c>
      <c r="D270" s="140" t="s">
        <v>430</v>
      </c>
      <c r="E270" s="140" t="s">
        <v>187</v>
      </c>
      <c r="F270" s="140"/>
      <c r="G270" s="175">
        <f t="shared" si="63"/>
        <v>45</v>
      </c>
      <c r="H270" s="325">
        <f t="shared" si="63"/>
        <v>0</v>
      </c>
      <c r="I270" s="175">
        <f t="shared" si="63"/>
        <v>45</v>
      </c>
      <c r="J270" s="175">
        <f t="shared" si="62"/>
        <v>100</v>
      </c>
    </row>
    <row r="271" spans="1:10">
      <c r="A271" s="212" t="s">
        <v>272</v>
      </c>
      <c r="B271" s="132" t="s">
        <v>362</v>
      </c>
      <c r="C271" s="132" t="s">
        <v>430</v>
      </c>
      <c r="D271" s="132" t="s">
        <v>430</v>
      </c>
      <c r="E271" s="132" t="s">
        <v>188</v>
      </c>
      <c r="F271" s="132"/>
      <c r="G271" s="158">
        <f t="shared" si="63"/>
        <v>45</v>
      </c>
      <c r="H271" s="324">
        <f t="shared" si="63"/>
        <v>0</v>
      </c>
      <c r="I271" s="158">
        <f t="shared" si="63"/>
        <v>45</v>
      </c>
      <c r="J271" s="158">
        <f t="shared" si="62"/>
        <v>100</v>
      </c>
    </row>
    <row r="272" spans="1:10">
      <c r="A272" s="173" t="s">
        <v>290</v>
      </c>
      <c r="B272" s="140" t="s">
        <v>362</v>
      </c>
      <c r="C272" s="140" t="s">
        <v>430</v>
      </c>
      <c r="D272" s="140" t="s">
        <v>430</v>
      </c>
      <c r="E272" s="140" t="s">
        <v>477</v>
      </c>
      <c r="F272" s="140"/>
      <c r="G272" s="175">
        <f t="shared" si="63"/>
        <v>45</v>
      </c>
      <c r="H272" s="325">
        <f t="shared" si="63"/>
        <v>0</v>
      </c>
      <c r="I272" s="175">
        <f t="shared" si="63"/>
        <v>45</v>
      </c>
      <c r="J272" s="175">
        <f t="shared" si="62"/>
        <v>100</v>
      </c>
    </row>
    <row r="273" spans="1:10">
      <c r="A273" s="131" t="s">
        <v>486</v>
      </c>
      <c r="B273" s="22" t="s">
        <v>362</v>
      </c>
      <c r="C273" s="22" t="s">
        <v>430</v>
      </c>
      <c r="D273" s="22" t="s">
        <v>430</v>
      </c>
      <c r="E273" s="22" t="s">
        <v>477</v>
      </c>
      <c r="F273" s="22" t="s">
        <v>77</v>
      </c>
      <c r="G273" s="156">
        <f t="shared" si="63"/>
        <v>45</v>
      </c>
      <c r="H273" s="323">
        <f t="shared" si="63"/>
        <v>0</v>
      </c>
      <c r="I273" s="156">
        <f t="shared" si="63"/>
        <v>45</v>
      </c>
      <c r="J273" s="156">
        <f t="shared" si="62"/>
        <v>100</v>
      </c>
    </row>
    <row r="274" spans="1:10">
      <c r="A274" s="131" t="s">
        <v>78</v>
      </c>
      <c r="B274" s="22" t="s">
        <v>362</v>
      </c>
      <c r="C274" s="22" t="s">
        <v>430</v>
      </c>
      <c r="D274" s="22" t="s">
        <v>430</v>
      </c>
      <c r="E274" s="22" t="s">
        <v>477</v>
      </c>
      <c r="F274" s="22" t="s">
        <v>79</v>
      </c>
      <c r="G274" s="156">
        <f>187.5-142.5</f>
        <v>45</v>
      </c>
      <c r="H274" s="323">
        <v>0</v>
      </c>
      <c r="I274" s="156">
        <f>187.5-142.5</f>
        <v>45</v>
      </c>
      <c r="J274" s="156">
        <f t="shared" si="62"/>
        <v>100</v>
      </c>
    </row>
    <row r="275" spans="1:10" s="208" customFormat="1" ht="31.5">
      <c r="A275" s="213" t="s">
        <v>161</v>
      </c>
      <c r="B275" s="237" t="s">
        <v>160</v>
      </c>
      <c r="C275" s="151"/>
      <c r="D275" s="151"/>
      <c r="E275" s="214"/>
      <c r="F275" s="214"/>
      <c r="G275" s="215">
        <f>G276+G283</f>
        <v>40231.354000000007</v>
      </c>
      <c r="H275" s="215">
        <f>H276+H283</f>
        <v>27338.92354</v>
      </c>
      <c r="I275" s="215">
        <f>I276+I283</f>
        <v>40231.354000000007</v>
      </c>
      <c r="J275" s="215">
        <f t="shared" si="62"/>
        <v>100</v>
      </c>
    </row>
    <row r="276" spans="1:10" s="208" customFormat="1">
      <c r="A276" s="135" t="s">
        <v>338</v>
      </c>
      <c r="B276" s="132" t="s">
        <v>160</v>
      </c>
      <c r="C276" s="132" t="s">
        <v>430</v>
      </c>
      <c r="D276" s="132" t="s">
        <v>70</v>
      </c>
      <c r="E276" s="22"/>
      <c r="F276" s="22"/>
      <c r="G276" s="158">
        <f t="shared" ref="G276:I281" si="64">G277</f>
        <v>1520</v>
      </c>
      <c r="H276" s="158">
        <f t="shared" si="64"/>
        <v>709.33669999999995</v>
      </c>
      <c r="I276" s="158">
        <f t="shared" si="64"/>
        <v>1520</v>
      </c>
      <c r="J276" s="158">
        <f t="shared" si="62"/>
        <v>100</v>
      </c>
    </row>
    <row r="277" spans="1:10" s="208" customFormat="1">
      <c r="A277" s="133" t="s">
        <v>568</v>
      </c>
      <c r="B277" s="132" t="s">
        <v>160</v>
      </c>
      <c r="C277" s="132" t="s">
        <v>430</v>
      </c>
      <c r="D277" s="132" t="s">
        <v>430</v>
      </c>
      <c r="E277" s="22"/>
      <c r="F277" s="22"/>
      <c r="G277" s="158">
        <f t="shared" si="64"/>
        <v>1520</v>
      </c>
      <c r="H277" s="158">
        <f t="shared" si="64"/>
        <v>709.33669999999995</v>
      </c>
      <c r="I277" s="158">
        <f t="shared" si="64"/>
        <v>1520</v>
      </c>
      <c r="J277" s="158">
        <f t="shared" si="62"/>
        <v>100</v>
      </c>
    </row>
    <row r="278" spans="1:10" s="208" customFormat="1" ht="27">
      <c r="A278" s="174" t="s">
        <v>573</v>
      </c>
      <c r="B278" s="144" t="s">
        <v>160</v>
      </c>
      <c r="C278" s="144" t="s">
        <v>430</v>
      </c>
      <c r="D278" s="144" t="s">
        <v>430</v>
      </c>
      <c r="E278" s="144" t="s">
        <v>48</v>
      </c>
      <c r="F278" s="22"/>
      <c r="G278" s="158">
        <f t="shared" si="64"/>
        <v>1520</v>
      </c>
      <c r="H278" s="158">
        <f t="shared" si="64"/>
        <v>709.33669999999995</v>
      </c>
      <c r="I278" s="158">
        <f t="shared" si="64"/>
        <v>1520</v>
      </c>
      <c r="J278" s="158">
        <f t="shared" si="62"/>
        <v>100</v>
      </c>
    </row>
    <row r="279" spans="1:10" s="208" customFormat="1">
      <c r="A279" s="229" t="s">
        <v>727</v>
      </c>
      <c r="B279" s="132" t="s">
        <v>160</v>
      </c>
      <c r="C279" s="132" t="s">
        <v>430</v>
      </c>
      <c r="D279" s="132" t="s">
        <v>430</v>
      </c>
      <c r="E279" s="132" t="s">
        <v>52</v>
      </c>
      <c r="F279" s="132"/>
      <c r="G279" s="158">
        <f t="shared" si="64"/>
        <v>1520</v>
      </c>
      <c r="H279" s="158">
        <f t="shared" si="64"/>
        <v>709.33669999999995</v>
      </c>
      <c r="I279" s="158">
        <f t="shared" si="64"/>
        <v>1520</v>
      </c>
      <c r="J279" s="158">
        <f t="shared" si="62"/>
        <v>100</v>
      </c>
    </row>
    <row r="280" spans="1:10" s="208" customFormat="1">
      <c r="A280" s="224" t="s">
        <v>314</v>
      </c>
      <c r="B280" s="140" t="s">
        <v>160</v>
      </c>
      <c r="C280" s="140" t="s">
        <v>430</v>
      </c>
      <c r="D280" s="140" t="s">
        <v>430</v>
      </c>
      <c r="E280" s="140" t="s">
        <v>574</v>
      </c>
      <c r="F280" s="140"/>
      <c r="G280" s="175">
        <f t="shared" si="64"/>
        <v>1520</v>
      </c>
      <c r="H280" s="175">
        <f t="shared" si="64"/>
        <v>709.33669999999995</v>
      </c>
      <c r="I280" s="175">
        <f t="shared" si="64"/>
        <v>1520</v>
      </c>
      <c r="J280" s="175">
        <f t="shared" si="62"/>
        <v>100</v>
      </c>
    </row>
    <row r="281" spans="1:10" s="208" customFormat="1">
      <c r="A281" s="131" t="s">
        <v>94</v>
      </c>
      <c r="B281" s="22" t="s">
        <v>160</v>
      </c>
      <c r="C281" s="22" t="s">
        <v>430</v>
      </c>
      <c r="D281" s="22" t="s">
        <v>430</v>
      </c>
      <c r="E281" s="22" t="s">
        <v>574</v>
      </c>
      <c r="F281" s="22" t="s">
        <v>362</v>
      </c>
      <c r="G281" s="156">
        <f t="shared" si="64"/>
        <v>1520</v>
      </c>
      <c r="H281" s="156">
        <f t="shared" si="64"/>
        <v>709.33669999999995</v>
      </c>
      <c r="I281" s="156">
        <f t="shared" si="64"/>
        <v>1520</v>
      </c>
      <c r="J281" s="156">
        <f t="shared" si="62"/>
        <v>100</v>
      </c>
    </row>
    <row r="282" spans="1:10" s="208" customFormat="1">
      <c r="A282" s="131" t="s">
        <v>447</v>
      </c>
      <c r="B282" s="22" t="s">
        <v>160</v>
      </c>
      <c r="C282" s="22" t="s">
        <v>430</v>
      </c>
      <c r="D282" s="22" t="s">
        <v>430</v>
      </c>
      <c r="E282" s="22" t="s">
        <v>574</v>
      </c>
      <c r="F282" s="22" t="s">
        <v>448</v>
      </c>
      <c r="G282" s="156">
        <f>1820-300</f>
        <v>1520</v>
      </c>
      <c r="H282" s="156">
        <v>709.33669999999995</v>
      </c>
      <c r="I282" s="156">
        <f>1820-300</f>
        <v>1520</v>
      </c>
      <c r="J282" s="156">
        <f t="shared" si="62"/>
        <v>100</v>
      </c>
    </row>
    <row r="283" spans="1:10" s="208" customFormat="1" ht="15.75">
      <c r="A283" s="133" t="s">
        <v>353</v>
      </c>
      <c r="B283" s="132" t="s">
        <v>160</v>
      </c>
      <c r="C283" s="132" t="s">
        <v>83</v>
      </c>
      <c r="D283" s="132" t="s">
        <v>70</v>
      </c>
      <c r="E283" s="214"/>
      <c r="F283" s="214"/>
      <c r="G283" s="158">
        <f>G284+G295</f>
        <v>38711.354000000007</v>
      </c>
      <c r="H283" s="158">
        <f>H284+H295</f>
        <v>26629.58684</v>
      </c>
      <c r="I283" s="158">
        <f>I284+I295</f>
        <v>38711.354000000007</v>
      </c>
      <c r="J283" s="158">
        <f t="shared" si="62"/>
        <v>100</v>
      </c>
    </row>
    <row r="284" spans="1:10" s="208" customFormat="1" ht="15.75">
      <c r="A284" s="133" t="s">
        <v>57</v>
      </c>
      <c r="B284" s="132" t="s">
        <v>160</v>
      </c>
      <c r="C284" s="132" t="s">
        <v>83</v>
      </c>
      <c r="D284" s="132" t="s">
        <v>69</v>
      </c>
      <c r="E284" s="214"/>
      <c r="F284" s="214"/>
      <c r="G284" s="238">
        <f>G285</f>
        <v>34225.200000000004</v>
      </c>
      <c r="H284" s="238">
        <f>H285</f>
        <v>23548.47436</v>
      </c>
      <c r="I284" s="238">
        <f>I285</f>
        <v>34225.200000000004</v>
      </c>
      <c r="J284" s="238">
        <f t="shared" si="62"/>
        <v>100</v>
      </c>
    </row>
    <row r="285" spans="1:10" s="208" customFormat="1" ht="27">
      <c r="A285" s="174" t="s">
        <v>573</v>
      </c>
      <c r="B285" s="144" t="s">
        <v>160</v>
      </c>
      <c r="C285" s="144" t="s">
        <v>83</v>
      </c>
      <c r="D285" s="144" t="s">
        <v>69</v>
      </c>
      <c r="E285" s="144" t="s">
        <v>48</v>
      </c>
      <c r="F285" s="144"/>
      <c r="G285" s="218">
        <f>G286+G290</f>
        <v>34225.200000000004</v>
      </c>
      <c r="H285" s="218">
        <f>H286+H290</f>
        <v>23548.47436</v>
      </c>
      <c r="I285" s="218">
        <f>I286+I290</f>
        <v>34225.200000000004</v>
      </c>
      <c r="J285" s="218">
        <f t="shared" si="62"/>
        <v>100</v>
      </c>
    </row>
    <row r="286" spans="1:10" s="208" customFormat="1" ht="24">
      <c r="A286" s="133" t="s">
        <v>479</v>
      </c>
      <c r="B286" s="132" t="s">
        <v>160</v>
      </c>
      <c r="C286" s="132" t="s">
        <v>83</v>
      </c>
      <c r="D286" s="132" t="s">
        <v>69</v>
      </c>
      <c r="E286" s="132" t="s">
        <v>59</v>
      </c>
      <c r="F286" s="214"/>
      <c r="G286" s="158">
        <f t="shared" ref="G286:I288" si="65">G287</f>
        <v>3800</v>
      </c>
      <c r="H286" s="158">
        <f t="shared" si="65"/>
        <v>1976.1948299999999</v>
      </c>
      <c r="I286" s="158">
        <f t="shared" si="65"/>
        <v>3800</v>
      </c>
      <c r="J286" s="158">
        <f t="shared" si="62"/>
        <v>100</v>
      </c>
    </row>
    <row r="287" spans="1:10" s="208" customFormat="1" ht="24">
      <c r="A287" s="224" t="s">
        <v>315</v>
      </c>
      <c r="B287" s="140" t="s">
        <v>160</v>
      </c>
      <c r="C287" s="140" t="s">
        <v>83</v>
      </c>
      <c r="D287" s="140" t="s">
        <v>69</v>
      </c>
      <c r="E287" s="140" t="s">
        <v>575</v>
      </c>
      <c r="F287" s="140"/>
      <c r="G287" s="175">
        <f t="shared" si="65"/>
        <v>3800</v>
      </c>
      <c r="H287" s="175">
        <f t="shared" si="65"/>
        <v>1976.1948299999999</v>
      </c>
      <c r="I287" s="175">
        <f t="shared" si="65"/>
        <v>3800</v>
      </c>
      <c r="J287" s="175">
        <f t="shared" si="62"/>
        <v>100</v>
      </c>
    </row>
    <row r="288" spans="1:10" s="208" customFormat="1">
      <c r="A288" s="131" t="s">
        <v>94</v>
      </c>
      <c r="B288" s="22" t="s">
        <v>160</v>
      </c>
      <c r="C288" s="22" t="s">
        <v>83</v>
      </c>
      <c r="D288" s="22" t="s">
        <v>69</v>
      </c>
      <c r="E288" s="22" t="s">
        <v>575</v>
      </c>
      <c r="F288" s="22" t="s">
        <v>362</v>
      </c>
      <c r="G288" s="156">
        <f t="shared" si="65"/>
        <v>3800</v>
      </c>
      <c r="H288" s="156">
        <f t="shared" si="65"/>
        <v>1976.1948299999999</v>
      </c>
      <c r="I288" s="156">
        <f t="shared" si="65"/>
        <v>3800</v>
      </c>
      <c r="J288" s="156">
        <f t="shared" si="62"/>
        <v>100</v>
      </c>
    </row>
    <row r="289" spans="1:10" s="208" customFormat="1">
      <c r="A289" s="131" t="s">
        <v>447</v>
      </c>
      <c r="B289" s="22" t="s">
        <v>160</v>
      </c>
      <c r="C289" s="22" t="s">
        <v>83</v>
      </c>
      <c r="D289" s="22" t="s">
        <v>69</v>
      </c>
      <c r="E289" s="22" t="s">
        <v>575</v>
      </c>
      <c r="F289" s="22" t="s">
        <v>448</v>
      </c>
      <c r="G289" s="156">
        <f>3500+300</f>
        <v>3800</v>
      </c>
      <c r="H289" s="156">
        <v>1976.1948299999999</v>
      </c>
      <c r="I289" s="156">
        <f>3500+300</f>
        <v>3800</v>
      </c>
      <c r="J289" s="156">
        <f t="shared" si="62"/>
        <v>100</v>
      </c>
    </row>
    <row r="290" spans="1:10" s="208" customFormat="1" ht="24">
      <c r="A290" s="229" t="s">
        <v>47</v>
      </c>
      <c r="B290" s="132" t="s">
        <v>160</v>
      </c>
      <c r="C290" s="132" t="s">
        <v>83</v>
      </c>
      <c r="D290" s="132" t="s">
        <v>69</v>
      </c>
      <c r="E290" s="132" t="s">
        <v>49</v>
      </c>
      <c r="F290" s="132"/>
      <c r="G290" s="158">
        <f t="shared" ref="G290:I293" si="66">G291</f>
        <v>30425.200000000004</v>
      </c>
      <c r="H290" s="158">
        <f t="shared" si="66"/>
        <v>21572.27953</v>
      </c>
      <c r="I290" s="158">
        <f t="shared" si="66"/>
        <v>30425.200000000004</v>
      </c>
      <c r="J290" s="158">
        <f t="shared" si="62"/>
        <v>100</v>
      </c>
    </row>
    <row r="291" spans="1:10" s="208" customFormat="1">
      <c r="A291" s="229" t="s">
        <v>50</v>
      </c>
      <c r="B291" s="132" t="s">
        <v>160</v>
      </c>
      <c r="C291" s="132" t="s">
        <v>83</v>
      </c>
      <c r="D291" s="132" t="s">
        <v>69</v>
      </c>
      <c r="E291" s="132" t="s">
        <v>576</v>
      </c>
      <c r="F291" s="132"/>
      <c r="G291" s="158">
        <f t="shared" si="66"/>
        <v>30425.200000000004</v>
      </c>
      <c r="H291" s="158">
        <f t="shared" si="66"/>
        <v>21572.27953</v>
      </c>
      <c r="I291" s="158">
        <f t="shared" si="66"/>
        <v>30425.200000000004</v>
      </c>
      <c r="J291" s="158">
        <f t="shared" si="62"/>
        <v>100</v>
      </c>
    </row>
    <row r="292" spans="1:10" s="208" customFormat="1" ht="24">
      <c r="A292" s="239" t="s">
        <v>277</v>
      </c>
      <c r="B292" s="148" t="s">
        <v>160</v>
      </c>
      <c r="C292" s="148" t="s">
        <v>83</v>
      </c>
      <c r="D292" s="148" t="s">
        <v>69</v>
      </c>
      <c r="E292" s="148" t="s">
        <v>576</v>
      </c>
      <c r="F292" s="148"/>
      <c r="G292" s="178">
        <f t="shared" si="66"/>
        <v>30425.200000000004</v>
      </c>
      <c r="H292" s="178">
        <f t="shared" si="66"/>
        <v>21572.27953</v>
      </c>
      <c r="I292" s="178">
        <f t="shared" si="66"/>
        <v>30425.200000000004</v>
      </c>
      <c r="J292" s="178">
        <f t="shared" si="62"/>
        <v>100</v>
      </c>
    </row>
    <row r="293" spans="1:10" s="208" customFormat="1">
      <c r="A293" s="131" t="s">
        <v>94</v>
      </c>
      <c r="B293" s="22" t="s">
        <v>160</v>
      </c>
      <c r="C293" s="22" t="s">
        <v>83</v>
      </c>
      <c r="D293" s="22" t="s">
        <v>69</v>
      </c>
      <c r="E293" s="22" t="s">
        <v>576</v>
      </c>
      <c r="F293" s="22" t="s">
        <v>362</v>
      </c>
      <c r="G293" s="156">
        <f t="shared" si="66"/>
        <v>30425.200000000004</v>
      </c>
      <c r="H293" s="156">
        <f t="shared" si="66"/>
        <v>21572.27953</v>
      </c>
      <c r="I293" s="156">
        <f t="shared" si="66"/>
        <v>30425.200000000004</v>
      </c>
      <c r="J293" s="156">
        <f t="shared" si="62"/>
        <v>100</v>
      </c>
    </row>
    <row r="294" spans="1:10" s="208" customFormat="1">
      <c r="A294" s="131" t="s">
        <v>447</v>
      </c>
      <c r="B294" s="22" t="s">
        <v>160</v>
      </c>
      <c r="C294" s="22" t="s">
        <v>83</v>
      </c>
      <c r="D294" s="22" t="s">
        <v>69</v>
      </c>
      <c r="E294" s="22" t="s">
        <v>576</v>
      </c>
      <c r="F294" s="22" t="s">
        <v>448</v>
      </c>
      <c r="G294" s="156">
        <f>27870.2+5077.1-2281.1-241</f>
        <v>30425.200000000004</v>
      </c>
      <c r="H294" s="156">
        <v>21572.27953</v>
      </c>
      <c r="I294" s="156">
        <f>27870.2+5077.1-2281.1-241</f>
        <v>30425.200000000004</v>
      </c>
      <c r="J294" s="156">
        <f t="shared" si="62"/>
        <v>100</v>
      </c>
    </row>
    <row r="295" spans="1:10" s="208" customFormat="1">
      <c r="A295" s="133" t="s">
        <v>162</v>
      </c>
      <c r="B295" s="132" t="s">
        <v>160</v>
      </c>
      <c r="C295" s="132" t="s">
        <v>83</v>
      </c>
      <c r="D295" s="132" t="s">
        <v>376</v>
      </c>
      <c r="E295" s="132"/>
      <c r="F295" s="132"/>
      <c r="G295" s="158">
        <f>G296+G307</f>
        <v>4486.1540000000005</v>
      </c>
      <c r="H295" s="158">
        <f>H296+H307</f>
        <v>3081.1124799999998</v>
      </c>
      <c r="I295" s="158">
        <f>I296+I307</f>
        <v>4486.1540000000005</v>
      </c>
      <c r="J295" s="158">
        <f t="shared" si="62"/>
        <v>100</v>
      </c>
    </row>
    <row r="296" spans="1:10" s="208" customFormat="1" ht="27">
      <c r="A296" s="174" t="s">
        <v>573</v>
      </c>
      <c r="B296" s="144" t="s">
        <v>160</v>
      </c>
      <c r="C296" s="144" t="s">
        <v>83</v>
      </c>
      <c r="D296" s="144" t="s">
        <v>376</v>
      </c>
      <c r="E296" s="144" t="s">
        <v>48</v>
      </c>
      <c r="F296" s="132"/>
      <c r="G296" s="218">
        <f t="shared" ref="G296:I296" si="67">G297</f>
        <v>4400</v>
      </c>
      <c r="H296" s="218">
        <f t="shared" si="67"/>
        <v>3081.1124799999998</v>
      </c>
      <c r="I296" s="218">
        <f t="shared" si="67"/>
        <v>4400</v>
      </c>
      <c r="J296" s="218">
        <f t="shared" si="62"/>
        <v>100</v>
      </c>
    </row>
    <row r="297" spans="1:10" s="208" customFormat="1">
      <c r="A297" s="133" t="s">
        <v>60</v>
      </c>
      <c r="B297" s="132" t="s">
        <v>160</v>
      </c>
      <c r="C297" s="132" t="s">
        <v>83</v>
      </c>
      <c r="D297" s="132" t="s">
        <v>376</v>
      </c>
      <c r="E297" s="132" t="s">
        <v>61</v>
      </c>
      <c r="F297" s="132"/>
      <c r="G297" s="158">
        <f>G298+G302</f>
        <v>4400</v>
      </c>
      <c r="H297" s="158">
        <f>H298+H302</f>
        <v>3081.1124799999998</v>
      </c>
      <c r="I297" s="158">
        <f>I298+I302</f>
        <v>4400</v>
      </c>
      <c r="J297" s="158">
        <f t="shared" si="62"/>
        <v>100</v>
      </c>
    </row>
    <row r="298" spans="1:10" s="208" customFormat="1" ht="24">
      <c r="A298" s="133" t="s">
        <v>280</v>
      </c>
      <c r="B298" s="132" t="s">
        <v>160</v>
      </c>
      <c r="C298" s="132" t="s">
        <v>83</v>
      </c>
      <c r="D298" s="132" t="s">
        <v>376</v>
      </c>
      <c r="E298" s="132" t="s">
        <v>62</v>
      </c>
      <c r="F298" s="132"/>
      <c r="G298" s="158">
        <f t="shared" ref="G298:I300" si="68">G299</f>
        <v>4227</v>
      </c>
      <c r="H298" s="158">
        <f t="shared" si="68"/>
        <v>2943.99262</v>
      </c>
      <c r="I298" s="158">
        <f t="shared" si="68"/>
        <v>4217.25</v>
      </c>
      <c r="J298" s="158">
        <f t="shared" si="62"/>
        <v>99.769339957416605</v>
      </c>
    </row>
    <row r="299" spans="1:10" s="208" customFormat="1">
      <c r="A299" s="173" t="s">
        <v>271</v>
      </c>
      <c r="B299" s="140" t="s">
        <v>160</v>
      </c>
      <c r="C299" s="140" t="s">
        <v>83</v>
      </c>
      <c r="D299" s="140" t="s">
        <v>376</v>
      </c>
      <c r="E299" s="140" t="s">
        <v>62</v>
      </c>
      <c r="F299" s="140"/>
      <c r="G299" s="175">
        <f t="shared" si="68"/>
        <v>4227</v>
      </c>
      <c r="H299" s="175">
        <f t="shared" si="68"/>
        <v>2943.99262</v>
      </c>
      <c r="I299" s="175">
        <f t="shared" si="68"/>
        <v>4217.25</v>
      </c>
      <c r="J299" s="175">
        <f t="shared" si="62"/>
        <v>99.769339957416605</v>
      </c>
    </row>
    <row r="300" spans="1:10" s="208" customFormat="1" ht="36">
      <c r="A300" s="131" t="s">
        <v>72</v>
      </c>
      <c r="B300" s="22" t="s">
        <v>160</v>
      </c>
      <c r="C300" s="22" t="s">
        <v>83</v>
      </c>
      <c r="D300" s="22" t="s">
        <v>376</v>
      </c>
      <c r="E300" s="22" t="s">
        <v>62</v>
      </c>
      <c r="F300" s="22" t="s">
        <v>73</v>
      </c>
      <c r="G300" s="156">
        <f t="shared" si="68"/>
        <v>4227</v>
      </c>
      <c r="H300" s="156">
        <f t="shared" si="68"/>
        <v>2943.99262</v>
      </c>
      <c r="I300" s="156">
        <f t="shared" si="68"/>
        <v>4217.25</v>
      </c>
      <c r="J300" s="156">
        <f t="shared" si="62"/>
        <v>99.769339957416605</v>
      </c>
    </row>
    <row r="301" spans="1:10" s="208" customFormat="1">
      <c r="A301" s="131" t="s">
        <v>74</v>
      </c>
      <c r="B301" s="22" t="s">
        <v>160</v>
      </c>
      <c r="C301" s="22" t="s">
        <v>83</v>
      </c>
      <c r="D301" s="22" t="s">
        <v>376</v>
      </c>
      <c r="E301" s="22" t="s">
        <v>62</v>
      </c>
      <c r="F301" s="22" t="s">
        <v>75</v>
      </c>
      <c r="G301" s="156">
        <f>4287-60</f>
        <v>4227</v>
      </c>
      <c r="H301" s="156">
        <v>2943.99262</v>
      </c>
      <c r="I301" s="156">
        <f>4287-60-9.75</f>
        <v>4217.25</v>
      </c>
      <c r="J301" s="156">
        <f t="shared" si="62"/>
        <v>99.769339957416605</v>
      </c>
    </row>
    <row r="302" spans="1:10" s="208" customFormat="1">
      <c r="A302" s="133" t="s">
        <v>76</v>
      </c>
      <c r="B302" s="132" t="s">
        <v>160</v>
      </c>
      <c r="C302" s="132" t="s">
        <v>83</v>
      </c>
      <c r="D302" s="132" t="s">
        <v>376</v>
      </c>
      <c r="E302" s="132" t="s">
        <v>63</v>
      </c>
      <c r="F302" s="132"/>
      <c r="G302" s="158">
        <f>G303+G305</f>
        <v>173</v>
      </c>
      <c r="H302" s="158">
        <f>H303+H305</f>
        <v>137.11985999999999</v>
      </c>
      <c r="I302" s="158">
        <f>I303+I305</f>
        <v>182.75</v>
      </c>
      <c r="J302" s="158">
        <f t="shared" si="62"/>
        <v>105.635838150289</v>
      </c>
    </row>
    <row r="303" spans="1:10" s="208" customFormat="1">
      <c r="A303" s="131" t="s">
        <v>486</v>
      </c>
      <c r="B303" s="22" t="s">
        <v>160</v>
      </c>
      <c r="C303" s="22" t="s">
        <v>83</v>
      </c>
      <c r="D303" s="22" t="s">
        <v>376</v>
      </c>
      <c r="E303" s="22" t="s">
        <v>63</v>
      </c>
      <c r="F303" s="22" t="s">
        <v>77</v>
      </c>
      <c r="G303" s="156">
        <f>G304</f>
        <v>163</v>
      </c>
      <c r="H303" s="156">
        <f>H304</f>
        <v>137.11985999999999</v>
      </c>
      <c r="I303" s="156">
        <f>I304</f>
        <v>172.75</v>
      </c>
      <c r="J303" s="156">
        <f t="shared" si="62"/>
        <v>105.98159509202453</v>
      </c>
    </row>
    <row r="304" spans="1:10" s="208" customFormat="1">
      <c r="A304" s="131" t="s">
        <v>78</v>
      </c>
      <c r="B304" s="22" t="s">
        <v>160</v>
      </c>
      <c r="C304" s="22" t="s">
        <v>83</v>
      </c>
      <c r="D304" s="22" t="s">
        <v>376</v>
      </c>
      <c r="E304" s="22" t="s">
        <v>63</v>
      </c>
      <c r="F304" s="22" t="s">
        <v>79</v>
      </c>
      <c r="G304" s="156">
        <f>103+60</f>
        <v>163</v>
      </c>
      <c r="H304" s="156">
        <v>137.11985999999999</v>
      </c>
      <c r="I304" s="156">
        <f>103+60+9.75</f>
        <v>172.75</v>
      </c>
      <c r="J304" s="156">
        <f t="shared" si="62"/>
        <v>105.98159509202453</v>
      </c>
    </row>
    <row r="305" spans="1:10" s="208" customFormat="1">
      <c r="A305" s="131" t="s">
        <v>80</v>
      </c>
      <c r="B305" s="22" t="s">
        <v>160</v>
      </c>
      <c r="C305" s="22" t="s">
        <v>83</v>
      </c>
      <c r="D305" s="22" t="s">
        <v>376</v>
      </c>
      <c r="E305" s="22" t="s">
        <v>63</v>
      </c>
      <c r="F305" s="22" t="s">
        <v>81</v>
      </c>
      <c r="G305" s="156">
        <f>G306</f>
        <v>10</v>
      </c>
      <c r="H305" s="323">
        <f>H306</f>
        <v>0</v>
      </c>
      <c r="I305" s="156">
        <f>I306</f>
        <v>10</v>
      </c>
      <c r="J305" s="156">
        <f t="shared" si="62"/>
        <v>100</v>
      </c>
    </row>
    <row r="306" spans="1:10" s="208" customFormat="1">
      <c r="A306" s="131" t="s">
        <v>445</v>
      </c>
      <c r="B306" s="22" t="s">
        <v>160</v>
      </c>
      <c r="C306" s="22" t="s">
        <v>83</v>
      </c>
      <c r="D306" s="22" t="s">
        <v>376</v>
      </c>
      <c r="E306" s="22" t="s">
        <v>63</v>
      </c>
      <c r="F306" s="22" t="s">
        <v>82</v>
      </c>
      <c r="G306" s="156">
        <v>10</v>
      </c>
      <c r="H306" s="323">
        <v>0</v>
      </c>
      <c r="I306" s="156">
        <v>10</v>
      </c>
      <c r="J306" s="156">
        <f t="shared" si="62"/>
        <v>100</v>
      </c>
    </row>
    <row r="307" spans="1:10" s="208" customFormat="1">
      <c r="A307" s="173" t="s">
        <v>67</v>
      </c>
      <c r="B307" s="140" t="s">
        <v>160</v>
      </c>
      <c r="C307" s="140" t="s">
        <v>83</v>
      </c>
      <c r="D307" s="140" t="s">
        <v>376</v>
      </c>
      <c r="E307" s="140" t="s">
        <v>187</v>
      </c>
      <c r="F307" s="22"/>
      <c r="G307" s="175">
        <f t="shared" ref="G307:I310" si="69">G308</f>
        <v>86.153999999999996</v>
      </c>
      <c r="H307" s="325">
        <f t="shared" si="69"/>
        <v>0</v>
      </c>
      <c r="I307" s="175">
        <f t="shared" si="69"/>
        <v>86.153999999999996</v>
      </c>
      <c r="J307" s="175">
        <f t="shared" si="62"/>
        <v>100</v>
      </c>
    </row>
    <row r="308" spans="1:10" s="208" customFormat="1">
      <c r="A308" s="212" t="s">
        <v>272</v>
      </c>
      <c r="B308" s="132" t="s">
        <v>160</v>
      </c>
      <c r="C308" s="132" t="s">
        <v>83</v>
      </c>
      <c r="D308" s="132" t="s">
        <v>376</v>
      </c>
      <c r="E308" s="132" t="s">
        <v>188</v>
      </c>
      <c r="F308" s="22"/>
      <c r="G308" s="158">
        <f t="shared" si="69"/>
        <v>86.153999999999996</v>
      </c>
      <c r="H308" s="324">
        <f t="shared" si="69"/>
        <v>0</v>
      </c>
      <c r="I308" s="158">
        <f t="shared" si="69"/>
        <v>86.153999999999996</v>
      </c>
      <c r="J308" s="158">
        <f t="shared" si="62"/>
        <v>100</v>
      </c>
    </row>
    <row r="309" spans="1:10" s="208" customFormat="1">
      <c r="A309" s="133" t="s">
        <v>774</v>
      </c>
      <c r="B309" s="132" t="s">
        <v>160</v>
      </c>
      <c r="C309" s="132" t="s">
        <v>83</v>
      </c>
      <c r="D309" s="132" t="s">
        <v>376</v>
      </c>
      <c r="E309" s="132" t="s">
        <v>769</v>
      </c>
      <c r="F309" s="132"/>
      <c r="G309" s="158">
        <f t="shared" si="69"/>
        <v>86.153999999999996</v>
      </c>
      <c r="H309" s="324">
        <f t="shared" si="69"/>
        <v>0</v>
      </c>
      <c r="I309" s="158">
        <f t="shared" si="69"/>
        <v>86.153999999999996</v>
      </c>
      <c r="J309" s="158">
        <f t="shared" si="62"/>
        <v>100</v>
      </c>
    </row>
    <row r="310" spans="1:10" s="208" customFormat="1" ht="36">
      <c r="A310" s="131" t="s">
        <v>72</v>
      </c>
      <c r="B310" s="22" t="s">
        <v>160</v>
      </c>
      <c r="C310" s="22" t="s">
        <v>83</v>
      </c>
      <c r="D310" s="22" t="s">
        <v>376</v>
      </c>
      <c r="E310" s="22" t="s">
        <v>769</v>
      </c>
      <c r="F310" s="22" t="s">
        <v>73</v>
      </c>
      <c r="G310" s="156">
        <f t="shared" si="69"/>
        <v>86.153999999999996</v>
      </c>
      <c r="H310" s="323">
        <f t="shared" si="69"/>
        <v>0</v>
      </c>
      <c r="I310" s="156">
        <f t="shared" si="69"/>
        <v>86.153999999999996</v>
      </c>
      <c r="J310" s="156">
        <f t="shared" si="62"/>
        <v>100</v>
      </c>
    </row>
    <row r="311" spans="1:10" s="208" customFormat="1">
      <c r="A311" s="131" t="s">
        <v>74</v>
      </c>
      <c r="B311" s="22" t="s">
        <v>160</v>
      </c>
      <c r="C311" s="22" t="s">
        <v>83</v>
      </c>
      <c r="D311" s="22" t="s">
        <v>376</v>
      </c>
      <c r="E311" s="22" t="s">
        <v>769</v>
      </c>
      <c r="F311" s="22" t="s">
        <v>75</v>
      </c>
      <c r="G311" s="156">
        <v>86.153999999999996</v>
      </c>
      <c r="H311" s="323">
        <v>0</v>
      </c>
      <c r="I311" s="156">
        <v>86.153999999999996</v>
      </c>
      <c r="J311" s="156">
        <f t="shared" si="62"/>
        <v>100</v>
      </c>
    </row>
    <row r="312" spans="1:10" s="208" customFormat="1" ht="31.5">
      <c r="A312" s="213" t="s">
        <v>143</v>
      </c>
      <c r="B312" s="237" t="s">
        <v>144</v>
      </c>
      <c r="C312" s="22"/>
      <c r="D312" s="22"/>
      <c r="E312" s="22"/>
      <c r="F312" s="22"/>
      <c r="G312" s="215">
        <f>G328+G313</f>
        <v>960182.11485999997</v>
      </c>
      <c r="H312" s="215">
        <f>H328+H313</f>
        <v>752658.43151999987</v>
      </c>
      <c r="I312" s="215">
        <f>I328+I313</f>
        <v>940182.11485999997</v>
      </c>
      <c r="J312" s="215">
        <f t="shared" si="62"/>
        <v>97.917061806247446</v>
      </c>
    </row>
    <row r="313" spans="1:10" s="208" customFormat="1">
      <c r="A313" s="133" t="s">
        <v>103</v>
      </c>
      <c r="B313" s="132" t="s">
        <v>144</v>
      </c>
      <c r="C313" s="132" t="s">
        <v>69</v>
      </c>
      <c r="D313" s="132" t="s">
        <v>70</v>
      </c>
      <c r="E313" s="22"/>
      <c r="F313" s="22"/>
      <c r="G313" s="158">
        <f>G314</f>
        <v>102265.50873</v>
      </c>
      <c r="H313" s="158">
        <f>H314</f>
        <v>300.64873</v>
      </c>
      <c r="I313" s="158">
        <f>I314</f>
        <v>102265.50873</v>
      </c>
      <c r="J313" s="158">
        <f t="shared" si="62"/>
        <v>100</v>
      </c>
    </row>
    <row r="314" spans="1:10" s="208" customFormat="1">
      <c r="A314" s="135" t="s">
        <v>285</v>
      </c>
      <c r="B314" s="132" t="s">
        <v>144</v>
      </c>
      <c r="C314" s="132" t="s">
        <v>69</v>
      </c>
      <c r="D314" s="132" t="s">
        <v>86</v>
      </c>
      <c r="E314" s="22"/>
      <c r="F314" s="22"/>
      <c r="G314" s="158">
        <f>G315+G323</f>
        <v>102265.50873</v>
      </c>
      <c r="H314" s="158">
        <f>H315+H323</f>
        <v>300.64873</v>
      </c>
      <c r="I314" s="158">
        <f>I315+I323</f>
        <v>102265.50873</v>
      </c>
      <c r="J314" s="158">
        <f t="shared" si="62"/>
        <v>100</v>
      </c>
    </row>
    <row r="315" spans="1:10" s="208" customFormat="1" ht="13.5">
      <c r="A315" s="174" t="s">
        <v>577</v>
      </c>
      <c r="B315" s="144" t="s">
        <v>144</v>
      </c>
      <c r="C315" s="144" t="s">
        <v>69</v>
      </c>
      <c r="D315" s="144" t="s">
        <v>86</v>
      </c>
      <c r="E315" s="144" t="s">
        <v>209</v>
      </c>
      <c r="F315" s="22"/>
      <c r="G315" s="218">
        <f>G316</f>
        <v>101964.86</v>
      </c>
      <c r="H315" s="327">
        <f>H316</f>
        <v>0</v>
      </c>
      <c r="I315" s="218">
        <f>I316</f>
        <v>101964.86</v>
      </c>
      <c r="J315" s="218">
        <f t="shared" si="62"/>
        <v>100</v>
      </c>
    </row>
    <row r="316" spans="1:10" s="208" customFormat="1" ht="24">
      <c r="A316" s="240" t="s">
        <v>579</v>
      </c>
      <c r="B316" s="231" t="s">
        <v>144</v>
      </c>
      <c r="C316" s="231" t="s">
        <v>69</v>
      </c>
      <c r="D316" s="231" t="s">
        <v>86</v>
      </c>
      <c r="E316" s="231" t="s">
        <v>300</v>
      </c>
      <c r="F316" s="22"/>
      <c r="G316" s="175">
        <f>G317+G320</f>
        <v>101964.86</v>
      </c>
      <c r="H316" s="325">
        <f>H317+H320</f>
        <v>0</v>
      </c>
      <c r="I316" s="175">
        <f>I317+I320</f>
        <v>101964.86</v>
      </c>
      <c r="J316" s="175">
        <f t="shared" si="62"/>
        <v>100</v>
      </c>
    </row>
    <row r="317" spans="1:10" s="208" customFormat="1" ht="24">
      <c r="A317" s="229" t="s">
        <v>752</v>
      </c>
      <c r="B317" s="132" t="s">
        <v>144</v>
      </c>
      <c r="C317" s="132" t="s">
        <v>69</v>
      </c>
      <c r="D317" s="132" t="s">
        <v>86</v>
      </c>
      <c r="E317" s="132" t="s">
        <v>753</v>
      </c>
      <c r="F317" s="22"/>
      <c r="G317" s="158">
        <f t="shared" ref="G317:I318" si="70">G318</f>
        <v>100000</v>
      </c>
      <c r="H317" s="324">
        <f t="shared" si="70"/>
        <v>0</v>
      </c>
      <c r="I317" s="158">
        <f t="shared" si="70"/>
        <v>100000</v>
      </c>
      <c r="J317" s="158">
        <f t="shared" si="62"/>
        <v>100</v>
      </c>
    </row>
    <row r="318" spans="1:10" s="208" customFormat="1">
      <c r="A318" s="131" t="s">
        <v>486</v>
      </c>
      <c r="B318" s="22" t="s">
        <v>144</v>
      </c>
      <c r="C318" s="22" t="s">
        <v>69</v>
      </c>
      <c r="D318" s="22" t="s">
        <v>86</v>
      </c>
      <c r="E318" s="211" t="s">
        <v>753</v>
      </c>
      <c r="F318" s="22" t="s">
        <v>77</v>
      </c>
      <c r="G318" s="156">
        <f t="shared" si="70"/>
        <v>100000</v>
      </c>
      <c r="H318" s="323">
        <f t="shared" si="70"/>
        <v>0</v>
      </c>
      <c r="I318" s="156">
        <f t="shared" si="70"/>
        <v>100000</v>
      </c>
      <c r="J318" s="156">
        <f t="shared" si="62"/>
        <v>100</v>
      </c>
    </row>
    <row r="319" spans="1:10" s="208" customFormat="1">
      <c r="A319" s="131" t="s">
        <v>78</v>
      </c>
      <c r="B319" s="22" t="s">
        <v>144</v>
      </c>
      <c r="C319" s="22" t="s">
        <v>69</v>
      </c>
      <c r="D319" s="22" t="s">
        <v>86</v>
      </c>
      <c r="E319" s="211" t="s">
        <v>753</v>
      </c>
      <c r="F319" s="22" t="s">
        <v>79</v>
      </c>
      <c r="G319" s="156">
        <v>100000</v>
      </c>
      <c r="H319" s="323">
        <v>0</v>
      </c>
      <c r="I319" s="156">
        <v>100000</v>
      </c>
      <c r="J319" s="156">
        <f t="shared" si="62"/>
        <v>100</v>
      </c>
    </row>
    <row r="320" spans="1:10" s="208" customFormat="1" ht="36">
      <c r="A320" s="135" t="s">
        <v>750</v>
      </c>
      <c r="B320" s="132" t="s">
        <v>144</v>
      </c>
      <c r="C320" s="132" t="s">
        <v>69</v>
      </c>
      <c r="D320" s="132" t="s">
        <v>86</v>
      </c>
      <c r="E320" s="132" t="s">
        <v>751</v>
      </c>
      <c r="F320" s="132"/>
      <c r="G320" s="158">
        <f t="shared" ref="G320:I321" si="71">G321</f>
        <v>1964.86</v>
      </c>
      <c r="H320" s="324">
        <f t="shared" si="71"/>
        <v>0</v>
      </c>
      <c r="I320" s="158">
        <f t="shared" si="71"/>
        <v>1964.86</v>
      </c>
      <c r="J320" s="158">
        <f t="shared" si="62"/>
        <v>100</v>
      </c>
    </row>
    <row r="321" spans="1:10" s="208" customFormat="1">
      <c r="A321" s="131" t="s">
        <v>486</v>
      </c>
      <c r="B321" s="22" t="s">
        <v>144</v>
      </c>
      <c r="C321" s="22" t="s">
        <v>69</v>
      </c>
      <c r="D321" s="22" t="s">
        <v>86</v>
      </c>
      <c r="E321" s="22" t="s">
        <v>751</v>
      </c>
      <c r="F321" s="22" t="s">
        <v>77</v>
      </c>
      <c r="G321" s="156">
        <f t="shared" si="71"/>
        <v>1964.86</v>
      </c>
      <c r="H321" s="323">
        <f t="shared" si="71"/>
        <v>0</v>
      </c>
      <c r="I321" s="156">
        <f t="shared" si="71"/>
        <v>1964.86</v>
      </c>
      <c r="J321" s="156">
        <f t="shared" si="62"/>
        <v>100</v>
      </c>
    </row>
    <row r="322" spans="1:10" s="208" customFormat="1">
      <c r="A322" s="131" t="s">
        <v>78</v>
      </c>
      <c r="B322" s="22" t="s">
        <v>144</v>
      </c>
      <c r="C322" s="22" t="s">
        <v>69</v>
      </c>
      <c r="D322" s="22" t="s">
        <v>86</v>
      </c>
      <c r="E322" s="22" t="s">
        <v>751</v>
      </c>
      <c r="F322" s="22" t="s">
        <v>79</v>
      </c>
      <c r="G322" s="156">
        <f>1964.86</f>
        <v>1964.86</v>
      </c>
      <c r="H322" s="323">
        <v>0</v>
      </c>
      <c r="I322" s="156">
        <f>1964.86</f>
        <v>1964.86</v>
      </c>
      <c r="J322" s="156">
        <f t="shared" si="62"/>
        <v>100</v>
      </c>
    </row>
    <row r="323" spans="1:10" s="208" customFormat="1">
      <c r="A323" s="173" t="s">
        <v>67</v>
      </c>
      <c r="B323" s="140" t="s">
        <v>144</v>
      </c>
      <c r="C323" s="140" t="s">
        <v>69</v>
      </c>
      <c r="D323" s="140" t="s">
        <v>86</v>
      </c>
      <c r="E323" s="140" t="s">
        <v>187</v>
      </c>
      <c r="F323" s="148"/>
      <c r="G323" s="175">
        <f t="shared" ref="G323:I326" si="72">G324</f>
        <v>300.64873</v>
      </c>
      <c r="H323" s="175">
        <f t="shared" si="72"/>
        <v>300.64873</v>
      </c>
      <c r="I323" s="175">
        <f t="shared" si="72"/>
        <v>300.64873</v>
      </c>
      <c r="J323" s="175">
        <f t="shared" si="62"/>
        <v>100</v>
      </c>
    </row>
    <row r="324" spans="1:10" s="208" customFormat="1">
      <c r="A324" s="133" t="s">
        <v>272</v>
      </c>
      <c r="B324" s="132" t="s">
        <v>144</v>
      </c>
      <c r="C324" s="132" t="s">
        <v>69</v>
      </c>
      <c r="D324" s="132" t="s">
        <v>86</v>
      </c>
      <c r="E324" s="132" t="s">
        <v>188</v>
      </c>
      <c r="F324" s="22"/>
      <c r="G324" s="158">
        <f t="shared" si="72"/>
        <v>300.64873</v>
      </c>
      <c r="H324" s="158">
        <f t="shared" si="72"/>
        <v>300.64873</v>
      </c>
      <c r="I324" s="158">
        <f t="shared" si="72"/>
        <v>300.64873</v>
      </c>
      <c r="J324" s="158">
        <f t="shared" si="62"/>
        <v>100</v>
      </c>
    </row>
    <row r="325" spans="1:10" s="208" customFormat="1">
      <c r="A325" s="133" t="s">
        <v>286</v>
      </c>
      <c r="B325" s="132" t="s">
        <v>144</v>
      </c>
      <c r="C325" s="132" t="s">
        <v>69</v>
      </c>
      <c r="D325" s="132" t="s">
        <v>86</v>
      </c>
      <c r="E325" s="210" t="s">
        <v>525</v>
      </c>
      <c r="F325" s="132"/>
      <c r="G325" s="158">
        <f t="shared" si="72"/>
        <v>300.64873</v>
      </c>
      <c r="H325" s="158">
        <f t="shared" si="72"/>
        <v>300.64873</v>
      </c>
      <c r="I325" s="158">
        <f t="shared" si="72"/>
        <v>300.64873</v>
      </c>
      <c r="J325" s="158">
        <f t="shared" si="62"/>
        <v>100</v>
      </c>
    </row>
    <row r="326" spans="1:10" s="208" customFormat="1">
      <c r="A326" s="131" t="s">
        <v>80</v>
      </c>
      <c r="B326" s="22" t="s">
        <v>144</v>
      </c>
      <c r="C326" s="22" t="s">
        <v>69</v>
      </c>
      <c r="D326" s="22" t="s">
        <v>86</v>
      </c>
      <c r="E326" s="211" t="s">
        <v>525</v>
      </c>
      <c r="F326" s="22" t="s">
        <v>81</v>
      </c>
      <c r="G326" s="156">
        <f t="shared" si="72"/>
        <v>300.64873</v>
      </c>
      <c r="H326" s="156">
        <f t="shared" si="72"/>
        <v>300.64873</v>
      </c>
      <c r="I326" s="156">
        <f t="shared" si="72"/>
        <v>300.64873</v>
      </c>
      <c r="J326" s="156">
        <f t="shared" si="62"/>
        <v>100</v>
      </c>
    </row>
    <row r="327" spans="1:10" s="208" customFormat="1">
      <c r="A327" s="131" t="s">
        <v>133</v>
      </c>
      <c r="B327" s="22" t="s">
        <v>144</v>
      </c>
      <c r="C327" s="22" t="s">
        <v>69</v>
      </c>
      <c r="D327" s="22" t="s">
        <v>86</v>
      </c>
      <c r="E327" s="211" t="s">
        <v>525</v>
      </c>
      <c r="F327" s="22" t="s">
        <v>136</v>
      </c>
      <c r="G327" s="156">
        <v>300.64873</v>
      </c>
      <c r="H327" s="156">
        <v>300.64873</v>
      </c>
      <c r="I327" s="156">
        <v>300.64873</v>
      </c>
      <c r="J327" s="156">
        <f t="shared" si="62"/>
        <v>100</v>
      </c>
    </row>
    <row r="328" spans="1:10" s="208" customFormat="1">
      <c r="A328" s="133" t="s">
        <v>321</v>
      </c>
      <c r="B328" s="132" t="s">
        <v>144</v>
      </c>
      <c r="C328" s="132" t="s">
        <v>71</v>
      </c>
      <c r="D328" s="132" t="s">
        <v>70</v>
      </c>
      <c r="E328" s="22"/>
      <c r="F328" s="22"/>
      <c r="G328" s="158">
        <f>G329+G349</f>
        <v>857916.60612999997</v>
      </c>
      <c r="H328" s="158">
        <f>H329+H349</f>
        <v>752357.78278999985</v>
      </c>
      <c r="I328" s="158">
        <f>I329+I349</f>
        <v>837916.60612999997</v>
      </c>
      <c r="J328" s="158">
        <f t="shared" ref="J328:J391" si="73">I328/G328*100</f>
        <v>97.668771083681605</v>
      </c>
    </row>
    <row r="329" spans="1:10" s="208" customFormat="1">
      <c r="A329" s="133" t="s">
        <v>332</v>
      </c>
      <c r="B329" s="132" t="s">
        <v>144</v>
      </c>
      <c r="C329" s="132" t="s">
        <v>71</v>
      </c>
      <c r="D329" s="132" t="s">
        <v>428</v>
      </c>
      <c r="E329" s="132"/>
      <c r="F329" s="132"/>
      <c r="G329" s="158">
        <f>G330+G344</f>
        <v>78918.2</v>
      </c>
      <c r="H329" s="158">
        <f>H330+H344</f>
        <v>68493.094400000002</v>
      </c>
      <c r="I329" s="158">
        <f>I330+I344</f>
        <v>78918.2</v>
      </c>
      <c r="J329" s="158">
        <f t="shared" si="73"/>
        <v>100</v>
      </c>
    </row>
    <row r="330" spans="1:10" s="208" customFormat="1" ht="13.5">
      <c r="A330" s="174" t="s">
        <v>577</v>
      </c>
      <c r="B330" s="144" t="s">
        <v>144</v>
      </c>
      <c r="C330" s="144" t="s">
        <v>71</v>
      </c>
      <c r="D330" s="144" t="s">
        <v>428</v>
      </c>
      <c r="E330" s="144" t="s">
        <v>209</v>
      </c>
      <c r="F330" s="144"/>
      <c r="G330" s="218">
        <f>G331+G340</f>
        <v>78740</v>
      </c>
      <c r="H330" s="218">
        <f>H331+H340</f>
        <v>68374.024399999995</v>
      </c>
      <c r="I330" s="218">
        <f>I331+I340</f>
        <v>78740</v>
      </c>
      <c r="J330" s="218">
        <f t="shared" si="73"/>
        <v>100</v>
      </c>
    </row>
    <row r="331" spans="1:10" s="208" customFormat="1">
      <c r="A331" s="224" t="s">
        <v>92</v>
      </c>
      <c r="B331" s="140" t="s">
        <v>144</v>
      </c>
      <c r="C331" s="140" t="s">
        <v>71</v>
      </c>
      <c r="D331" s="140" t="s">
        <v>428</v>
      </c>
      <c r="E331" s="140" t="s">
        <v>210</v>
      </c>
      <c r="F331" s="140"/>
      <c r="G331" s="175">
        <f>G332+G335</f>
        <v>5740</v>
      </c>
      <c r="H331" s="175">
        <f>H332+H335</f>
        <v>4088.0243999999998</v>
      </c>
      <c r="I331" s="175">
        <f>I332+I335</f>
        <v>5740</v>
      </c>
      <c r="J331" s="175">
        <f t="shared" si="73"/>
        <v>100</v>
      </c>
    </row>
    <row r="332" spans="1:10" s="208" customFormat="1">
      <c r="A332" s="212" t="s">
        <v>271</v>
      </c>
      <c r="B332" s="132" t="s">
        <v>144</v>
      </c>
      <c r="C332" s="132" t="s">
        <v>71</v>
      </c>
      <c r="D332" s="132" t="s">
        <v>428</v>
      </c>
      <c r="E332" s="132" t="s">
        <v>296</v>
      </c>
      <c r="F332" s="132"/>
      <c r="G332" s="158">
        <f t="shared" ref="G332:I333" si="74">G333</f>
        <v>5475</v>
      </c>
      <c r="H332" s="158">
        <f t="shared" si="74"/>
        <v>3903.0782599999998</v>
      </c>
      <c r="I332" s="158">
        <f t="shared" si="74"/>
        <v>5475</v>
      </c>
      <c r="J332" s="158">
        <f t="shared" si="73"/>
        <v>100</v>
      </c>
    </row>
    <row r="333" spans="1:10" s="208" customFormat="1" ht="36">
      <c r="A333" s="131" t="s">
        <v>72</v>
      </c>
      <c r="B333" s="22" t="s">
        <v>144</v>
      </c>
      <c r="C333" s="22" t="s">
        <v>71</v>
      </c>
      <c r="D333" s="22" t="s">
        <v>428</v>
      </c>
      <c r="E333" s="22" t="s">
        <v>296</v>
      </c>
      <c r="F333" s="22" t="s">
        <v>73</v>
      </c>
      <c r="G333" s="156">
        <f t="shared" si="74"/>
        <v>5475</v>
      </c>
      <c r="H333" s="156">
        <f t="shared" si="74"/>
        <v>3903.0782599999998</v>
      </c>
      <c r="I333" s="156">
        <f t="shared" si="74"/>
        <v>5475</v>
      </c>
      <c r="J333" s="156">
        <f t="shared" si="73"/>
        <v>100</v>
      </c>
    </row>
    <row r="334" spans="1:10" s="208" customFormat="1">
      <c r="A334" s="131" t="s">
        <v>74</v>
      </c>
      <c r="B334" s="22" t="s">
        <v>144</v>
      </c>
      <c r="C334" s="22" t="s">
        <v>71</v>
      </c>
      <c r="D334" s="22" t="s">
        <v>428</v>
      </c>
      <c r="E334" s="22" t="s">
        <v>296</v>
      </c>
      <c r="F334" s="22" t="s">
        <v>75</v>
      </c>
      <c r="G334" s="156">
        <v>5475</v>
      </c>
      <c r="H334" s="156">
        <v>3903.0782599999998</v>
      </c>
      <c r="I334" s="156">
        <v>5475</v>
      </c>
      <c r="J334" s="156">
        <f t="shared" si="73"/>
        <v>100</v>
      </c>
    </row>
    <row r="335" spans="1:10" s="208" customFormat="1">
      <c r="A335" s="133" t="s">
        <v>76</v>
      </c>
      <c r="B335" s="132" t="s">
        <v>144</v>
      </c>
      <c r="C335" s="132" t="s">
        <v>71</v>
      </c>
      <c r="D335" s="132" t="s">
        <v>428</v>
      </c>
      <c r="E335" s="132" t="s">
        <v>297</v>
      </c>
      <c r="F335" s="132"/>
      <c r="G335" s="158">
        <f>G336+G338</f>
        <v>265</v>
      </c>
      <c r="H335" s="158">
        <f>H336+H338</f>
        <v>184.94614000000001</v>
      </c>
      <c r="I335" s="158">
        <f>I336+I338</f>
        <v>265</v>
      </c>
      <c r="J335" s="158">
        <f t="shared" si="73"/>
        <v>100</v>
      </c>
    </row>
    <row r="336" spans="1:10" s="208" customFormat="1">
      <c r="A336" s="131" t="s">
        <v>486</v>
      </c>
      <c r="B336" s="22" t="s">
        <v>144</v>
      </c>
      <c r="C336" s="22" t="s">
        <v>71</v>
      </c>
      <c r="D336" s="22" t="s">
        <v>428</v>
      </c>
      <c r="E336" s="22" t="s">
        <v>297</v>
      </c>
      <c r="F336" s="22" t="s">
        <v>77</v>
      </c>
      <c r="G336" s="156">
        <f>G337</f>
        <v>255</v>
      </c>
      <c r="H336" s="156">
        <f>H337</f>
        <v>184.94614000000001</v>
      </c>
      <c r="I336" s="156">
        <f>I337</f>
        <v>255</v>
      </c>
      <c r="J336" s="156">
        <f t="shared" si="73"/>
        <v>100</v>
      </c>
    </row>
    <row r="337" spans="1:10" s="208" customFormat="1">
      <c r="A337" s="131" t="s">
        <v>78</v>
      </c>
      <c r="B337" s="22" t="s">
        <v>144</v>
      </c>
      <c r="C337" s="22" t="s">
        <v>71</v>
      </c>
      <c r="D337" s="22" t="s">
        <v>428</v>
      </c>
      <c r="E337" s="22" t="s">
        <v>297</v>
      </c>
      <c r="F337" s="22" t="s">
        <v>79</v>
      </c>
      <c r="G337" s="156">
        <v>255</v>
      </c>
      <c r="H337" s="156">
        <v>184.94614000000001</v>
      </c>
      <c r="I337" s="156">
        <v>255</v>
      </c>
      <c r="J337" s="156">
        <f t="shared" si="73"/>
        <v>100</v>
      </c>
    </row>
    <row r="338" spans="1:10" s="208" customFormat="1">
      <c r="A338" s="131" t="s">
        <v>80</v>
      </c>
      <c r="B338" s="22" t="s">
        <v>144</v>
      </c>
      <c r="C338" s="22" t="s">
        <v>71</v>
      </c>
      <c r="D338" s="22" t="s">
        <v>428</v>
      </c>
      <c r="E338" s="22" t="s">
        <v>297</v>
      </c>
      <c r="F338" s="22" t="s">
        <v>81</v>
      </c>
      <c r="G338" s="156">
        <f>G339</f>
        <v>10</v>
      </c>
      <c r="H338" s="323">
        <f>H339</f>
        <v>0</v>
      </c>
      <c r="I338" s="156">
        <f>I339</f>
        <v>10</v>
      </c>
      <c r="J338" s="156">
        <f t="shared" si="73"/>
        <v>100</v>
      </c>
    </row>
    <row r="339" spans="1:10" s="208" customFormat="1">
      <c r="A339" s="131" t="s">
        <v>445</v>
      </c>
      <c r="B339" s="22" t="s">
        <v>144</v>
      </c>
      <c r="C339" s="22" t="s">
        <v>71</v>
      </c>
      <c r="D339" s="22" t="s">
        <v>428</v>
      </c>
      <c r="E339" s="22" t="s">
        <v>297</v>
      </c>
      <c r="F339" s="22" t="s">
        <v>82</v>
      </c>
      <c r="G339" s="156">
        <v>10</v>
      </c>
      <c r="H339" s="323">
        <v>0</v>
      </c>
      <c r="I339" s="156">
        <v>10</v>
      </c>
      <c r="J339" s="156">
        <f t="shared" si="73"/>
        <v>100</v>
      </c>
    </row>
    <row r="340" spans="1:10" s="208" customFormat="1">
      <c r="A340" s="240" t="s">
        <v>298</v>
      </c>
      <c r="B340" s="140" t="s">
        <v>144</v>
      </c>
      <c r="C340" s="140" t="s">
        <v>71</v>
      </c>
      <c r="D340" s="140" t="s">
        <v>428</v>
      </c>
      <c r="E340" s="231" t="s">
        <v>299</v>
      </c>
      <c r="F340" s="140"/>
      <c r="G340" s="175">
        <f t="shared" ref="G340:I342" si="75">G341</f>
        <v>73000</v>
      </c>
      <c r="H340" s="175">
        <f t="shared" si="75"/>
        <v>64286</v>
      </c>
      <c r="I340" s="175">
        <f t="shared" si="75"/>
        <v>73000</v>
      </c>
      <c r="J340" s="175">
        <f t="shared" si="73"/>
        <v>100</v>
      </c>
    </row>
    <row r="341" spans="1:10" s="208" customFormat="1" ht="24">
      <c r="A341" s="240" t="s">
        <v>484</v>
      </c>
      <c r="B341" s="140" t="s">
        <v>144</v>
      </c>
      <c r="C341" s="140" t="s">
        <v>71</v>
      </c>
      <c r="D341" s="140" t="s">
        <v>428</v>
      </c>
      <c r="E341" s="231" t="s">
        <v>578</v>
      </c>
      <c r="F341" s="140"/>
      <c r="G341" s="175">
        <f t="shared" si="75"/>
        <v>73000</v>
      </c>
      <c r="H341" s="175">
        <f t="shared" si="75"/>
        <v>64286</v>
      </c>
      <c r="I341" s="175">
        <f t="shared" si="75"/>
        <v>73000</v>
      </c>
      <c r="J341" s="175">
        <f t="shared" si="73"/>
        <v>100</v>
      </c>
    </row>
    <row r="342" spans="1:10" s="208" customFormat="1">
      <c r="A342" s="131" t="s">
        <v>80</v>
      </c>
      <c r="B342" s="22" t="s">
        <v>144</v>
      </c>
      <c r="C342" s="22" t="s">
        <v>71</v>
      </c>
      <c r="D342" s="22" t="s">
        <v>428</v>
      </c>
      <c r="E342" s="211" t="s">
        <v>578</v>
      </c>
      <c r="F342" s="22" t="s">
        <v>81</v>
      </c>
      <c r="G342" s="156">
        <f t="shared" si="75"/>
        <v>73000</v>
      </c>
      <c r="H342" s="156">
        <f t="shared" si="75"/>
        <v>64286</v>
      </c>
      <c r="I342" s="156">
        <f t="shared" si="75"/>
        <v>73000</v>
      </c>
      <c r="J342" s="156">
        <f t="shared" si="73"/>
        <v>100</v>
      </c>
    </row>
    <row r="343" spans="1:10" s="208" customFormat="1" ht="24">
      <c r="A343" s="131" t="s">
        <v>485</v>
      </c>
      <c r="B343" s="22" t="s">
        <v>144</v>
      </c>
      <c r="C343" s="22" t="s">
        <v>71</v>
      </c>
      <c r="D343" s="22" t="s">
        <v>428</v>
      </c>
      <c r="E343" s="211" t="s">
        <v>578</v>
      </c>
      <c r="F343" s="22" t="s">
        <v>374</v>
      </c>
      <c r="G343" s="156">
        <f>63000+10000</f>
        <v>73000</v>
      </c>
      <c r="H343" s="156">
        <v>64286</v>
      </c>
      <c r="I343" s="156">
        <f>63000+10000</f>
        <v>73000</v>
      </c>
      <c r="J343" s="156">
        <f t="shared" si="73"/>
        <v>100</v>
      </c>
    </row>
    <row r="344" spans="1:10" s="208" customFormat="1">
      <c r="A344" s="173" t="s">
        <v>67</v>
      </c>
      <c r="B344" s="140" t="s">
        <v>144</v>
      </c>
      <c r="C344" s="140" t="s">
        <v>71</v>
      </c>
      <c r="D344" s="140" t="s">
        <v>428</v>
      </c>
      <c r="E344" s="140" t="s">
        <v>187</v>
      </c>
      <c r="F344" s="22"/>
      <c r="G344" s="175">
        <f t="shared" ref="G344:I347" si="76">G345</f>
        <v>178.2</v>
      </c>
      <c r="H344" s="175">
        <f t="shared" si="76"/>
        <v>119.07</v>
      </c>
      <c r="I344" s="175">
        <f t="shared" si="76"/>
        <v>178.2</v>
      </c>
      <c r="J344" s="175">
        <f t="shared" si="73"/>
        <v>100</v>
      </c>
    </row>
    <row r="345" spans="1:10" s="208" customFormat="1">
      <c r="A345" s="212" t="s">
        <v>272</v>
      </c>
      <c r="B345" s="132" t="s">
        <v>144</v>
      </c>
      <c r="C345" s="132" t="s">
        <v>71</v>
      </c>
      <c r="D345" s="132" t="s">
        <v>428</v>
      </c>
      <c r="E345" s="132" t="s">
        <v>188</v>
      </c>
      <c r="F345" s="22"/>
      <c r="G345" s="158">
        <f t="shared" si="76"/>
        <v>178.2</v>
      </c>
      <c r="H345" s="158">
        <f t="shared" si="76"/>
        <v>119.07</v>
      </c>
      <c r="I345" s="158">
        <f t="shared" si="76"/>
        <v>178.2</v>
      </c>
      <c r="J345" s="158">
        <f t="shared" si="73"/>
        <v>100</v>
      </c>
    </row>
    <row r="346" spans="1:10" s="208" customFormat="1">
      <c r="A346" s="133" t="s">
        <v>774</v>
      </c>
      <c r="B346" s="132" t="s">
        <v>144</v>
      </c>
      <c r="C346" s="132" t="s">
        <v>71</v>
      </c>
      <c r="D346" s="132" t="s">
        <v>428</v>
      </c>
      <c r="E346" s="132" t="s">
        <v>769</v>
      </c>
      <c r="F346" s="132"/>
      <c r="G346" s="158">
        <f t="shared" si="76"/>
        <v>178.2</v>
      </c>
      <c r="H346" s="158">
        <f t="shared" si="76"/>
        <v>119.07</v>
      </c>
      <c r="I346" s="158">
        <f t="shared" si="76"/>
        <v>178.2</v>
      </c>
      <c r="J346" s="158">
        <f t="shared" si="73"/>
        <v>100</v>
      </c>
    </row>
    <row r="347" spans="1:10" s="208" customFormat="1" ht="36">
      <c r="A347" s="131" t="s">
        <v>72</v>
      </c>
      <c r="B347" s="22" t="s">
        <v>144</v>
      </c>
      <c r="C347" s="22" t="s">
        <v>71</v>
      </c>
      <c r="D347" s="22" t="s">
        <v>428</v>
      </c>
      <c r="E347" s="22" t="s">
        <v>769</v>
      </c>
      <c r="F347" s="22" t="s">
        <v>73</v>
      </c>
      <c r="G347" s="156">
        <f t="shared" si="76"/>
        <v>178.2</v>
      </c>
      <c r="H347" s="156">
        <f t="shared" si="76"/>
        <v>119.07</v>
      </c>
      <c r="I347" s="156">
        <f t="shared" si="76"/>
        <v>178.2</v>
      </c>
      <c r="J347" s="156">
        <f t="shared" si="73"/>
        <v>100</v>
      </c>
    </row>
    <row r="348" spans="1:10" s="208" customFormat="1">
      <c r="A348" s="131" t="s">
        <v>74</v>
      </c>
      <c r="B348" s="22" t="s">
        <v>144</v>
      </c>
      <c r="C348" s="22" t="s">
        <v>71</v>
      </c>
      <c r="D348" s="22" t="s">
        <v>428</v>
      </c>
      <c r="E348" s="22" t="s">
        <v>769</v>
      </c>
      <c r="F348" s="22" t="s">
        <v>75</v>
      </c>
      <c r="G348" s="156">
        <v>178.2</v>
      </c>
      <c r="H348" s="156">
        <v>119.07</v>
      </c>
      <c r="I348" s="156">
        <v>178.2</v>
      </c>
      <c r="J348" s="156">
        <f t="shared" si="73"/>
        <v>100</v>
      </c>
    </row>
    <row r="349" spans="1:10" s="208" customFormat="1">
      <c r="A349" s="133" t="s">
        <v>352</v>
      </c>
      <c r="B349" s="132" t="s">
        <v>144</v>
      </c>
      <c r="C349" s="132" t="s">
        <v>71</v>
      </c>
      <c r="D349" s="132" t="s">
        <v>424</v>
      </c>
      <c r="E349" s="211"/>
      <c r="F349" s="22"/>
      <c r="G349" s="158">
        <f>G350</f>
        <v>778998.40613000002</v>
      </c>
      <c r="H349" s="158">
        <f>H350</f>
        <v>683864.68838999991</v>
      </c>
      <c r="I349" s="158">
        <f>I350</f>
        <v>758998.40613000002</v>
      </c>
      <c r="J349" s="158">
        <f t="shared" si="73"/>
        <v>97.432600651988707</v>
      </c>
    </row>
    <row r="350" spans="1:10" s="208" customFormat="1" ht="13.5">
      <c r="A350" s="174" t="s">
        <v>577</v>
      </c>
      <c r="B350" s="144" t="s">
        <v>144</v>
      </c>
      <c r="C350" s="144" t="s">
        <v>71</v>
      </c>
      <c r="D350" s="144" t="s">
        <v>424</v>
      </c>
      <c r="E350" s="144" t="s">
        <v>209</v>
      </c>
      <c r="F350" s="144"/>
      <c r="G350" s="218">
        <f>G351+G373</f>
        <v>778998.40613000002</v>
      </c>
      <c r="H350" s="218">
        <f>H351+H373</f>
        <v>683864.68838999991</v>
      </c>
      <c r="I350" s="218">
        <f>I351+I373</f>
        <v>758998.40613000002</v>
      </c>
      <c r="J350" s="218">
        <f t="shared" si="73"/>
        <v>97.432600651988707</v>
      </c>
    </row>
    <row r="351" spans="1:10" s="208" customFormat="1" ht="24">
      <c r="A351" s="240" t="s">
        <v>579</v>
      </c>
      <c r="B351" s="140" t="s">
        <v>144</v>
      </c>
      <c r="C351" s="140" t="s">
        <v>71</v>
      </c>
      <c r="D351" s="140" t="s">
        <v>424</v>
      </c>
      <c r="E351" s="231" t="s">
        <v>300</v>
      </c>
      <c r="F351" s="140"/>
      <c r="G351" s="175">
        <f>G352+G361+G364+G367+G370+G355+G358</f>
        <v>726544.90613000002</v>
      </c>
      <c r="H351" s="175">
        <f t="shared" ref="H351:I351" si="77">H352+H361+H364+H367+H370+H355</f>
        <v>643638.14088999992</v>
      </c>
      <c r="I351" s="175">
        <f t="shared" si="77"/>
        <v>706000.55486000003</v>
      </c>
      <c r="J351" s="175">
        <f t="shared" si="73"/>
        <v>97.172321889994222</v>
      </c>
    </row>
    <row r="352" spans="1:10" s="208" customFormat="1" ht="24">
      <c r="A352" s="133" t="s">
        <v>212</v>
      </c>
      <c r="B352" s="132" t="s">
        <v>144</v>
      </c>
      <c r="C352" s="132" t="s">
        <v>71</v>
      </c>
      <c r="D352" s="132" t="s">
        <v>424</v>
      </c>
      <c r="E352" s="132" t="s">
        <v>580</v>
      </c>
      <c r="F352" s="132"/>
      <c r="G352" s="158">
        <f t="shared" ref="G352:I353" si="78">G353</f>
        <v>22422.814859999999</v>
      </c>
      <c r="H352" s="158">
        <f t="shared" si="78"/>
        <v>5388.6729999999998</v>
      </c>
      <c r="I352" s="158">
        <f t="shared" si="78"/>
        <v>22422.814859999999</v>
      </c>
      <c r="J352" s="158">
        <f t="shared" si="73"/>
        <v>100</v>
      </c>
    </row>
    <row r="353" spans="1:10" s="208" customFormat="1">
      <c r="A353" s="131" t="s">
        <v>486</v>
      </c>
      <c r="B353" s="22" t="s">
        <v>144</v>
      </c>
      <c r="C353" s="22" t="s">
        <v>71</v>
      </c>
      <c r="D353" s="22" t="s">
        <v>424</v>
      </c>
      <c r="E353" s="22" t="s">
        <v>580</v>
      </c>
      <c r="F353" s="22" t="s">
        <v>77</v>
      </c>
      <c r="G353" s="156">
        <f t="shared" si="78"/>
        <v>22422.814859999999</v>
      </c>
      <c r="H353" s="156">
        <f t="shared" si="78"/>
        <v>5388.6729999999998</v>
      </c>
      <c r="I353" s="156">
        <f t="shared" si="78"/>
        <v>22422.814859999999</v>
      </c>
      <c r="J353" s="156">
        <f t="shared" si="73"/>
        <v>100</v>
      </c>
    </row>
    <row r="354" spans="1:10" s="208" customFormat="1">
      <c r="A354" s="131" t="s">
        <v>78</v>
      </c>
      <c r="B354" s="22" t="s">
        <v>144</v>
      </c>
      <c r="C354" s="22" t="s">
        <v>71</v>
      </c>
      <c r="D354" s="22" t="s">
        <v>424</v>
      </c>
      <c r="E354" s="22" t="s">
        <v>580</v>
      </c>
      <c r="F354" s="22" t="s">
        <v>79</v>
      </c>
      <c r="G354" s="156">
        <f>3474+16000+2948.81486</f>
        <v>22422.814859999999</v>
      </c>
      <c r="H354" s="156">
        <v>5388.6729999999998</v>
      </c>
      <c r="I354" s="156">
        <f>3474+16000+2948.81486</f>
        <v>22422.814859999999</v>
      </c>
      <c r="J354" s="156">
        <f t="shared" si="73"/>
        <v>100</v>
      </c>
    </row>
    <row r="355" spans="1:10" s="208" customFormat="1" ht="36">
      <c r="A355" s="133" t="s">
        <v>749</v>
      </c>
      <c r="B355" s="132" t="s">
        <v>144</v>
      </c>
      <c r="C355" s="132" t="s">
        <v>71</v>
      </c>
      <c r="D355" s="132" t="s">
        <v>424</v>
      </c>
      <c r="E355" s="132" t="s">
        <v>726</v>
      </c>
      <c r="F355" s="132"/>
      <c r="G355" s="158">
        <f t="shared" ref="G355:I356" si="79">G356</f>
        <v>47665.94</v>
      </c>
      <c r="H355" s="158">
        <f t="shared" si="79"/>
        <v>2435.61553</v>
      </c>
      <c r="I355" s="158">
        <f t="shared" si="79"/>
        <v>27665.940000000002</v>
      </c>
      <c r="J355" s="158">
        <f t="shared" si="73"/>
        <v>58.041318392126541</v>
      </c>
    </row>
    <row r="356" spans="1:10" s="208" customFormat="1">
      <c r="A356" s="131" t="s">
        <v>486</v>
      </c>
      <c r="B356" s="22" t="s">
        <v>144</v>
      </c>
      <c r="C356" s="22" t="s">
        <v>71</v>
      </c>
      <c r="D356" s="22" t="s">
        <v>424</v>
      </c>
      <c r="E356" s="22" t="s">
        <v>726</v>
      </c>
      <c r="F356" s="22" t="s">
        <v>77</v>
      </c>
      <c r="G356" s="156">
        <f t="shared" si="79"/>
        <v>47665.94</v>
      </c>
      <c r="H356" s="156">
        <f t="shared" si="79"/>
        <v>2435.61553</v>
      </c>
      <c r="I356" s="156">
        <f t="shared" si="79"/>
        <v>27665.940000000002</v>
      </c>
      <c r="J356" s="156">
        <f t="shared" si="73"/>
        <v>58.041318392126541</v>
      </c>
    </row>
    <row r="357" spans="1:10" s="208" customFormat="1">
      <c r="A357" s="131" t="s">
        <v>78</v>
      </c>
      <c r="B357" s="22" t="s">
        <v>144</v>
      </c>
      <c r="C357" s="22" t="s">
        <v>71</v>
      </c>
      <c r="D357" s="22" t="s">
        <v>424</v>
      </c>
      <c r="E357" s="22" t="s">
        <v>726</v>
      </c>
      <c r="F357" s="22" t="s">
        <v>79</v>
      </c>
      <c r="G357" s="156">
        <f>42130.8+1500+6000-1964.86</f>
        <v>47665.94</v>
      </c>
      <c r="H357" s="156">
        <v>2435.61553</v>
      </c>
      <c r="I357" s="156">
        <f>42130.8+1500+6000-1964.86-20000</f>
        <v>27665.940000000002</v>
      </c>
      <c r="J357" s="156">
        <f t="shared" si="73"/>
        <v>58.041318392126541</v>
      </c>
    </row>
    <row r="358" spans="1:10" s="208" customFormat="1">
      <c r="A358" s="241" t="s">
        <v>795</v>
      </c>
      <c r="B358" s="132" t="s">
        <v>144</v>
      </c>
      <c r="C358" s="132" t="s">
        <v>71</v>
      </c>
      <c r="D358" s="132" t="s">
        <v>424</v>
      </c>
      <c r="E358" s="132" t="s">
        <v>794</v>
      </c>
      <c r="F358" s="132"/>
      <c r="G358" s="196">
        <f>G359</f>
        <v>544.35127</v>
      </c>
      <c r="H358" s="196">
        <f t="shared" ref="H358:I359" si="80">H359</f>
        <v>0</v>
      </c>
      <c r="I358" s="196">
        <f t="shared" si="80"/>
        <v>0</v>
      </c>
      <c r="J358" s="196">
        <f t="shared" si="73"/>
        <v>0</v>
      </c>
    </row>
    <row r="359" spans="1:10" s="208" customFormat="1">
      <c r="A359" s="131" t="s">
        <v>486</v>
      </c>
      <c r="B359" s="22" t="s">
        <v>144</v>
      </c>
      <c r="C359" s="22" t="s">
        <v>71</v>
      </c>
      <c r="D359" s="22" t="s">
        <v>424</v>
      </c>
      <c r="E359" s="22" t="s">
        <v>794</v>
      </c>
      <c r="F359" s="22" t="s">
        <v>77</v>
      </c>
      <c r="G359" s="176">
        <f>G360</f>
        <v>544.35127</v>
      </c>
      <c r="H359" s="176">
        <f t="shared" si="80"/>
        <v>0</v>
      </c>
      <c r="I359" s="176">
        <f t="shared" si="80"/>
        <v>0</v>
      </c>
      <c r="J359" s="176">
        <f t="shared" si="73"/>
        <v>0</v>
      </c>
    </row>
    <row r="360" spans="1:10" s="208" customFormat="1">
      <c r="A360" s="131" t="s">
        <v>78</v>
      </c>
      <c r="B360" s="22" t="s">
        <v>144</v>
      </c>
      <c r="C360" s="22" t="s">
        <v>71</v>
      </c>
      <c r="D360" s="22" t="s">
        <v>424</v>
      </c>
      <c r="E360" s="22" t="s">
        <v>794</v>
      </c>
      <c r="F360" s="22" t="s">
        <v>79</v>
      </c>
      <c r="G360" s="176">
        <f>975-300.64873-130</f>
        <v>544.35127</v>
      </c>
      <c r="H360" s="323">
        <v>0</v>
      </c>
      <c r="I360" s="323">
        <v>0</v>
      </c>
      <c r="J360" s="176">
        <f t="shared" si="73"/>
        <v>0</v>
      </c>
    </row>
    <row r="361" spans="1:10" s="208" customFormat="1" ht="24">
      <c r="A361" s="224" t="s">
        <v>487</v>
      </c>
      <c r="B361" s="140" t="s">
        <v>144</v>
      </c>
      <c r="C361" s="140" t="s">
        <v>71</v>
      </c>
      <c r="D361" s="140" t="s">
        <v>424</v>
      </c>
      <c r="E361" s="140" t="s">
        <v>41</v>
      </c>
      <c r="F361" s="140"/>
      <c r="G361" s="175">
        <f t="shared" ref="G361:I362" si="81">G362</f>
        <v>164322.79999999999</v>
      </c>
      <c r="H361" s="175">
        <f t="shared" si="81"/>
        <v>149483.24</v>
      </c>
      <c r="I361" s="175">
        <f t="shared" si="81"/>
        <v>164322.79999999999</v>
      </c>
      <c r="J361" s="175">
        <f t="shared" si="73"/>
        <v>100</v>
      </c>
    </row>
    <row r="362" spans="1:10" s="208" customFormat="1">
      <c r="A362" s="131" t="s">
        <v>486</v>
      </c>
      <c r="B362" s="22" t="s">
        <v>144</v>
      </c>
      <c r="C362" s="22" t="s">
        <v>71</v>
      </c>
      <c r="D362" s="22" t="s">
        <v>424</v>
      </c>
      <c r="E362" s="22" t="s">
        <v>41</v>
      </c>
      <c r="F362" s="22" t="s">
        <v>77</v>
      </c>
      <c r="G362" s="156">
        <f t="shared" si="81"/>
        <v>164322.79999999999</v>
      </c>
      <c r="H362" s="156">
        <f t="shared" si="81"/>
        <v>149483.24</v>
      </c>
      <c r="I362" s="156">
        <f t="shared" si="81"/>
        <v>164322.79999999999</v>
      </c>
      <c r="J362" s="156">
        <f t="shared" si="73"/>
        <v>100</v>
      </c>
    </row>
    <row r="363" spans="1:10" s="208" customFormat="1">
      <c r="A363" s="131" t="s">
        <v>78</v>
      </c>
      <c r="B363" s="22" t="s">
        <v>144</v>
      </c>
      <c r="C363" s="22" t="s">
        <v>71</v>
      </c>
      <c r="D363" s="22" t="s">
        <v>424</v>
      </c>
      <c r="E363" s="22" t="s">
        <v>41</v>
      </c>
      <c r="F363" s="22" t="s">
        <v>79</v>
      </c>
      <c r="G363" s="156">
        <v>164322.79999999999</v>
      </c>
      <c r="H363" s="156">
        <v>149483.24</v>
      </c>
      <c r="I363" s="156">
        <v>164322.79999999999</v>
      </c>
      <c r="J363" s="156">
        <f t="shared" si="73"/>
        <v>100</v>
      </c>
    </row>
    <row r="364" spans="1:10" s="208" customFormat="1" ht="24">
      <c r="A364" s="224" t="s">
        <v>213</v>
      </c>
      <c r="B364" s="140" t="s">
        <v>144</v>
      </c>
      <c r="C364" s="140" t="s">
        <v>71</v>
      </c>
      <c r="D364" s="140" t="s">
        <v>424</v>
      </c>
      <c r="E364" s="140" t="s">
        <v>42</v>
      </c>
      <c r="F364" s="140"/>
      <c r="G364" s="175">
        <f t="shared" ref="G364:I365" si="82">G365</f>
        <v>10623</v>
      </c>
      <c r="H364" s="175">
        <f t="shared" si="82"/>
        <v>9720.9113600000001</v>
      </c>
      <c r="I364" s="175">
        <f t="shared" si="82"/>
        <v>10623</v>
      </c>
      <c r="J364" s="175">
        <f t="shared" si="73"/>
        <v>100</v>
      </c>
    </row>
    <row r="365" spans="1:10" s="208" customFormat="1">
      <c r="A365" s="131" t="s">
        <v>486</v>
      </c>
      <c r="B365" s="22" t="s">
        <v>144</v>
      </c>
      <c r="C365" s="22" t="s">
        <v>71</v>
      </c>
      <c r="D365" s="22" t="s">
        <v>424</v>
      </c>
      <c r="E365" s="22" t="s">
        <v>42</v>
      </c>
      <c r="F365" s="22" t="s">
        <v>77</v>
      </c>
      <c r="G365" s="156">
        <f t="shared" si="82"/>
        <v>10623</v>
      </c>
      <c r="H365" s="156">
        <f t="shared" si="82"/>
        <v>9720.9113600000001</v>
      </c>
      <c r="I365" s="156">
        <f t="shared" si="82"/>
        <v>10623</v>
      </c>
      <c r="J365" s="156">
        <f t="shared" si="73"/>
        <v>100</v>
      </c>
    </row>
    <row r="366" spans="1:10" s="208" customFormat="1">
      <c r="A366" s="131" t="s">
        <v>78</v>
      </c>
      <c r="B366" s="22" t="s">
        <v>144</v>
      </c>
      <c r="C366" s="22" t="s">
        <v>71</v>
      </c>
      <c r="D366" s="22" t="s">
        <v>424</v>
      </c>
      <c r="E366" s="22" t="s">
        <v>42</v>
      </c>
      <c r="F366" s="22" t="s">
        <v>79</v>
      </c>
      <c r="G366" s="156">
        <v>10623</v>
      </c>
      <c r="H366" s="156">
        <v>9720.9113600000001</v>
      </c>
      <c r="I366" s="156">
        <v>10623</v>
      </c>
      <c r="J366" s="156">
        <f t="shared" si="73"/>
        <v>100</v>
      </c>
    </row>
    <row r="367" spans="1:10" s="208" customFormat="1" ht="36">
      <c r="A367" s="133" t="s">
        <v>506</v>
      </c>
      <c r="B367" s="132" t="s">
        <v>144</v>
      </c>
      <c r="C367" s="132" t="s">
        <v>480</v>
      </c>
      <c r="D367" s="132" t="s">
        <v>424</v>
      </c>
      <c r="E367" s="132" t="s">
        <v>481</v>
      </c>
      <c r="F367" s="132"/>
      <c r="G367" s="158">
        <f t="shared" ref="G367:I368" si="83">G368</f>
        <v>400000</v>
      </c>
      <c r="H367" s="158">
        <f t="shared" si="83"/>
        <v>400000</v>
      </c>
      <c r="I367" s="158">
        <f t="shared" si="83"/>
        <v>400000</v>
      </c>
      <c r="J367" s="158">
        <f t="shared" si="73"/>
        <v>100</v>
      </c>
    </row>
    <row r="368" spans="1:10" s="208" customFormat="1">
      <c r="A368" s="131" t="s">
        <v>486</v>
      </c>
      <c r="B368" s="22" t="s">
        <v>144</v>
      </c>
      <c r="C368" s="22" t="s">
        <v>71</v>
      </c>
      <c r="D368" s="22" t="s">
        <v>424</v>
      </c>
      <c r="E368" s="22" t="s">
        <v>481</v>
      </c>
      <c r="F368" s="22" t="s">
        <v>77</v>
      </c>
      <c r="G368" s="156">
        <f t="shared" si="83"/>
        <v>400000</v>
      </c>
      <c r="H368" s="156">
        <f t="shared" si="83"/>
        <v>400000</v>
      </c>
      <c r="I368" s="156">
        <f t="shared" si="83"/>
        <v>400000</v>
      </c>
      <c r="J368" s="156">
        <f t="shared" si="73"/>
        <v>100</v>
      </c>
    </row>
    <row r="369" spans="1:10" s="208" customFormat="1">
      <c r="A369" s="131" t="s">
        <v>78</v>
      </c>
      <c r="B369" s="22" t="s">
        <v>144</v>
      </c>
      <c r="C369" s="22" t="s">
        <v>71</v>
      </c>
      <c r="D369" s="22" t="s">
        <v>424</v>
      </c>
      <c r="E369" s="22" t="s">
        <v>481</v>
      </c>
      <c r="F369" s="22" t="s">
        <v>79</v>
      </c>
      <c r="G369" s="156">
        <v>400000</v>
      </c>
      <c r="H369" s="156">
        <v>400000</v>
      </c>
      <c r="I369" s="156">
        <v>400000</v>
      </c>
      <c r="J369" s="156">
        <f t="shared" si="73"/>
        <v>100</v>
      </c>
    </row>
    <row r="370" spans="1:10" s="208" customFormat="1" ht="24">
      <c r="A370" s="133" t="s">
        <v>482</v>
      </c>
      <c r="B370" s="132" t="s">
        <v>144</v>
      </c>
      <c r="C370" s="132" t="s">
        <v>480</v>
      </c>
      <c r="D370" s="132" t="s">
        <v>424</v>
      </c>
      <c r="E370" s="132" t="s">
        <v>483</v>
      </c>
      <c r="F370" s="132"/>
      <c r="G370" s="158">
        <f t="shared" ref="G370:I371" si="84">G371</f>
        <v>80966</v>
      </c>
      <c r="H370" s="158">
        <f t="shared" si="84"/>
        <v>76609.701000000001</v>
      </c>
      <c r="I370" s="158">
        <f t="shared" si="84"/>
        <v>80966</v>
      </c>
      <c r="J370" s="158">
        <f t="shared" si="73"/>
        <v>100</v>
      </c>
    </row>
    <row r="371" spans="1:10" s="208" customFormat="1">
      <c r="A371" s="131" t="s">
        <v>486</v>
      </c>
      <c r="B371" s="22" t="s">
        <v>144</v>
      </c>
      <c r="C371" s="22" t="s">
        <v>71</v>
      </c>
      <c r="D371" s="22" t="s">
        <v>424</v>
      </c>
      <c r="E371" s="22" t="s">
        <v>483</v>
      </c>
      <c r="F371" s="22" t="s">
        <v>77</v>
      </c>
      <c r="G371" s="156">
        <f t="shared" si="84"/>
        <v>80966</v>
      </c>
      <c r="H371" s="156">
        <f t="shared" si="84"/>
        <v>76609.701000000001</v>
      </c>
      <c r="I371" s="156">
        <f t="shared" si="84"/>
        <v>80966</v>
      </c>
      <c r="J371" s="156">
        <f t="shared" si="73"/>
        <v>100</v>
      </c>
    </row>
    <row r="372" spans="1:10" s="208" customFormat="1">
      <c r="A372" s="131" t="s">
        <v>78</v>
      </c>
      <c r="B372" s="22" t="s">
        <v>144</v>
      </c>
      <c r="C372" s="22" t="s">
        <v>71</v>
      </c>
      <c r="D372" s="22" t="s">
        <v>424</v>
      </c>
      <c r="E372" s="22" t="s">
        <v>483</v>
      </c>
      <c r="F372" s="22" t="s">
        <v>79</v>
      </c>
      <c r="G372" s="156">
        <v>80966</v>
      </c>
      <c r="H372" s="156">
        <v>76609.701000000001</v>
      </c>
      <c r="I372" s="156">
        <v>80966</v>
      </c>
      <c r="J372" s="156">
        <f t="shared" si="73"/>
        <v>100</v>
      </c>
    </row>
    <row r="373" spans="1:10" s="208" customFormat="1">
      <c r="A373" s="224" t="s">
        <v>397</v>
      </c>
      <c r="B373" s="140" t="s">
        <v>144</v>
      </c>
      <c r="C373" s="140" t="s">
        <v>71</v>
      </c>
      <c r="D373" s="140" t="s">
        <v>424</v>
      </c>
      <c r="E373" s="140" t="s">
        <v>295</v>
      </c>
      <c r="F373" s="140"/>
      <c r="G373" s="175">
        <f>G374+G382</f>
        <v>52453.5</v>
      </c>
      <c r="H373" s="175">
        <f>H374+H382</f>
        <v>40226.547500000001</v>
      </c>
      <c r="I373" s="175">
        <f>I374+I382</f>
        <v>52997.851269999999</v>
      </c>
      <c r="J373" s="175">
        <f t="shared" si="73"/>
        <v>101.03777873735784</v>
      </c>
    </row>
    <row r="374" spans="1:10" s="208" customFormat="1">
      <c r="A374" s="239" t="s">
        <v>301</v>
      </c>
      <c r="B374" s="148" t="s">
        <v>144</v>
      </c>
      <c r="C374" s="148" t="s">
        <v>71</v>
      </c>
      <c r="D374" s="148" t="s">
        <v>424</v>
      </c>
      <c r="E374" s="149" t="s">
        <v>581</v>
      </c>
      <c r="F374" s="148"/>
      <c r="G374" s="178">
        <f>G375</f>
        <v>4615</v>
      </c>
      <c r="H374" s="178">
        <f>H375</f>
        <v>3362.8172400000003</v>
      </c>
      <c r="I374" s="178">
        <f>I375</f>
        <v>5159.3512700000001</v>
      </c>
      <c r="J374" s="178">
        <f t="shared" si="73"/>
        <v>111.79526045503792</v>
      </c>
    </row>
    <row r="375" spans="1:10" s="208" customFormat="1">
      <c r="A375" s="133" t="s">
        <v>425</v>
      </c>
      <c r="B375" s="132" t="s">
        <v>144</v>
      </c>
      <c r="C375" s="132" t="s">
        <v>71</v>
      </c>
      <c r="D375" s="132" t="s">
        <v>424</v>
      </c>
      <c r="E375" s="132" t="s">
        <v>581</v>
      </c>
      <c r="F375" s="132"/>
      <c r="G375" s="158">
        <f>G376+G378+G380</f>
        <v>4615</v>
      </c>
      <c r="H375" s="158">
        <f>H376+H378+H380</f>
        <v>3362.8172400000003</v>
      </c>
      <c r="I375" s="158">
        <f>I376+I378+I380</f>
        <v>5159.3512700000001</v>
      </c>
      <c r="J375" s="158">
        <f t="shared" si="73"/>
        <v>111.79526045503792</v>
      </c>
    </row>
    <row r="376" spans="1:10" s="208" customFormat="1" ht="36">
      <c r="A376" s="131" t="s">
        <v>72</v>
      </c>
      <c r="B376" s="22" t="s">
        <v>144</v>
      </c>
      <c r="C376" s="22" t="s">
        <v>71</v>
      </c>
      <c r="D376" s="22" t="s">
        <v>424</v>
      </c>
      <c r="E376" s="22" t="s">
        <v>581</v>
      </c>
      <c r="F376" s="22" t="s">
        <v>73</v>
      </c>
      <c r="G376" s="156">
        <f>G377</f>
        <v>4020</v>
      </c>
      <c r="H376" s="156">
        <f>H377</f>
        <v>2894.6932400000001</v>
      </c>
      <c r="I376" s="156">
        <f>I377</f>
        <v>4452.84</v>
      </c>
      <c r="J376" s="156">
        <f t="shared" si="73"/>
        <v>110.76716417910448</v>
      </c>
    </row>
    <row r="377" spans="1:10" s="208" customFormat="1">
      <c r="A377" s="131" t="s">
        <v>426</v>
      </c>
      <c r="B377" s="22" t="s">
        <v>144</v>
      </c>
      <c r="C377" s="22" t="s">
        <v>71</v>
      </c>
      <c r="D377" s="22" t="s">
        <v>424</v>
      </c>
      <c r="E377" s="22" t="s">
        <v>581</v>
      </c>
      <c r="F377" s="22" t="s">
        <v>427</v>
      </c>
      <c r="G377" s="156">
        <f>3090+930</f>
        <v>4020</v>
      </c>
      <c r="H377" s="156">
        <v>2894.6932400000001</v>
      </c>
      <c r="I377" s="156">
        <f>3090+930+330+102.84</f>
        <v>4452.84</v>
      </c>
      <c r="J377" s="156">
        <f t="shared" si="73"/>
        <v>110.76716417910448</v>
      </c>
    </row>
    <row r="378" spans="1:10" s="208" customFormat="1">
      <c r="A378" s="131" t="s">
        <v>486</v>
      </c>
      <c r="B378" s="22" t="s">
        <v>144</v>
      </c>
      <c r="C378" s="22" t="s">
        <v>71</v>
      </c>
      <c r="D378" s="22" t="s">
        <v>424</v>
      </c>
      <c r="E378" s="22" t="s">
        <v>581</v>
      </c>
      <c r="F378" s="22" t="s">
        <v>77</v>
      </c>
      <c r="G378" s="156">
        <f>G379</f>
        <v>400</v>
      </c>
      <c r="H378" s="156">
        <f>H379</f>
        <v>302.10500000000002</v>
      </c>
      <c r="I378" s="156">
        <f>I379</f>
        <v>511.51126999999997</v>
      </c>
      <c r="J378" s="156">
        <f t="shared" si="73"/>
        <v>127.87781750000001</v>
      </c>
    </row>
    <row r="379" spans="1:10" s="208" customFormat="1">
      <c r="A379" s="131" t="s">
        <v>78</v>
      </c>
      <c r="B379" s="22" t="s">
        <v>144</v>
      </c>
      <c r="C379" s="22" t="s">
        <v>71</v>
      </c>
      <c r="D379" s="22" t="s">
        <v>424</v>
      </c>
      <c r="E379" s="22" t="s">
        <v>581</v>
      </c>
      <c r="F379" s="22" t="s">
        <v>79</v>
      </c>
      <c r="G379" s="156">
        <f>63+107+100+130</f>
        <v>400</v>
      </c>
      <c r="H379" s="156">
        <v>302.10500000000002</v>
      </c>
      <c r="I379" s="156">
        <f>63+107+100+130+111.51127</f>
        <v>511.51126999999997</v>
      </c>
      <c r="J379" s="156">
        <f t="shared" si="73"/>
        <v>127.87781750000001</v>
      </c>
    </row>
    <row r="380" spans="1:10" s="208" customFormat="1">
      <c r="A380" s="131" t="s">
        <v>80</v>
      </c>
      <c r="B380" s="22" t="s">
        <v>144</v>
      </c>
      <c r="C380" s="22" t="s">
        <v>71</v>
      </c>
      <c r="D380" s="22" t="s">
        <v>424</v>
      </c>
      <c r="E380" s="22" t="s">
        <v>581</v>
      </c>
      <c r="F380" s="22" t="s">
        <v>81</v>
      </c>
      <c r="G380" s="156">
        <f>G381</f>
        <v>195</v>
      </c>
      <c r="H380" s="156">
        <f>H381</f>
        <v>166.01900000000001</v>
      </c>
      <c r="I380" s="156">
        <f>I381</f>
        <v>195</v>
      </c>
      <c r="J380" s="156">
        <f t="shared" si="73"/>
        <v>100</v>
      </c>
    </row>
    <row r="381" spans="1:10" s="208" customFormat="1">
      <c r="A381" s="131" t="s">
        <v>445</v>
      </c>
      <c r="B381" s="22" t="s">
        <v>144</v>
      </c>
      <c r="C381" s="22" t="s">
        <v>71</v>
      </c>
      <c r="D381" s="22" t="s">
        <v>424</v>
      </c>
      <c r="E381" s="22" t="s">
        <v>581</v>
      </c>
      <c r="F381" s="22" t="s">
        <v>82</v>
      </c>
      <c r="G381" s="156">
        <v>195</v>
      </c>
      <c r="H381" s="156">
        <v>166.01900000000001</v>
      </c>
      <c r="I381" s="156">
        <v>195</v>
      </c>
      <c r="J381" s="156">
        <f t="shared" si="73"/>
        <v>100</v>
      </c>
    </row>
    <row r="382" spans="1:10" s="208" customFormat="1">
      <c r="A382" s="240" t="s">
        <v>302</v>
      </c>
      <c r="B382" s="140" t="s">
        <v>144</v>
      </c>
      <c r="C382" s="140" t="s">
        <v>71</v>
      </c>
      <c r="D382" s="140" t="s">
        <v>424</v>
      </c>
      <c r="E382" s="231" t="s">
        <v>582</v>
      </c>
      <c r="F382" s="140"/>
      <c r="G382" s="175">
        <f t="shared" ref="G382:I383" si="85">G383</f>
        <v>47838.5</v>
      </c>
      <c r="H382" s="175">
        <f t="shared" si="85"/>
        <v>36863.730259999997</v>
      </c>
      <c r="I382" s="175">
        <f t="shared" si="85"/>
        <v>47838.5</v>
      </c>
      <c r="J382" s="175">
        <f t="shared" si="73"/>
        <v>100</v>
      </c>
    </row>
    <row r="383" spans="1:10" s="208" customFormat="1">
      <c r="A383" s="131" t="s">
        <v>94</v>
      </c>
      <c r="B383" s="22" t="s">
        <v>144</v>
      </c>
      <c r="C383" s="22" t="s">
        <v>71</v>
      </c>
      <c r="D383" s="22" t="s">
        <v>424</v>
      </c>
      <c r="E383" s="22" t="s">
        <v>582</v>
      </c>
      <c r="F383" s="22" t="s">
        <v>362</v>
      </c>
      <c r="G383" s="156">
        <f t="shared" si="85"/>
        <v>47838.5</v>
      </c>
      <c r="H383" s="156">
        <f t="shared" si="85"/>
        <v>36863.730259999997</v>
      </c>
      <c r="I383" s="156">
        <f t="shared" si="85"/>
        <v>47838.5</v>
      </c>
      <c r="J383" s="156">
        <f t="shared" si="73"/>
        <v>100</v>
      </c>
    </row>
    <row r="384" spans="1:10" s="208" customFormat="1">
      <c r="A384" s="131" t="s">
        <v>95</v>
      </c>
      <c r="B384" s="22" t="s">
        <v>144</v>
      </c>
      <c r="C384" s="22" t="s">
        <v>71</v>
      </c>
      <c r="D384" s="22" t="s">
        <v>424</v>
      </c>
      <c r="E384" s="22" t="s">
        <v>582</v>
      </c>
      <c r="F384" s="22" t="s">
        <v>371</v>
      </c>
      <c r="G384" s="156">
        <f>44838.5+3000</f>
        <v>47838.5</v>
      </c>
      <c r="H384" s="156">
        <v>36863.730259999997</v>
      </c>
      <c r="I384" s="156">
        <f>44838.5+3000</f>
        <v>47838.5</v>
      </c>
      <c r="J384" s="156">
        <f t="shared" si="73"/>
        <v>100</v>
      </c>
    </row>
    <row r="385" spans="1:10" s="208" customFormat="1" ht="31.5">
      <c r="A385" s="213" t="s">
        <v>584</v>
      </c>
      <c r="B385" s="237" t="s">
        <v>363</v>
      </c>
      <c r="C385" s="151"/>
      <c r="D385" s="151"/>
      <c r="E385" s="151"/>
      <c r="F385" s="151"/>
      <c r="G385" s="215">
        <f>G386+G406</f>
        <v>205519.95399999997</v>
      </c>
      <c r="H385" s="215">
        <f>H386+H406</f>
        <v>162720.16532999999</v>
      </c>
      <c r="I385" s="215">
        <f>I386+I406</f>
        <v>200233.82899999997</v>
      </c>
      <c r="J385" s="215">
        <f t="shared" si="73"/>
        <v>97.427926146772108</v>
      </c>
    </row>
    <row r="386" spans="1:10" s="208" customFormat="1">
      <c r="A386" s="133" t="s">
        <v>338</v>
      </c>
      <c r="B386" s="132">
        <v>603</v>
      </c>
      <c r="C386" s="132" t="s">
        <v>430</v>
      </c>
      <c r="D386" s="132" t="s">
        <v>70</v>
      </c>
      <c r="E386" s="132"/>
      <c r="F386" s="132"/>
      <c r="G386" s="158">
        <f>G387+G394</f>
        <v>79865.299999999988</v>
      </c>
      <c r="H386" s="158">
        <f>H387+H394</f>
        <v>69202.57183999999</v>
      </c>
      <c r="I386" s="158">
        <f>I387+I394</f>
        <v>79680.299999999988</v>
      </c>
      <c r="J386" s="158">
        <f t="shared" si="73"/>
        <v>99.768359976109778</v>
      </c>
    </row>
    <row r="387" spans="1:10" s="208" customFormat="1">
      <c r="A387" s="133" t="s">
        <v>248</v>
      </c>
      <c r="B387" s="132">
        <v>603</v>
      </c>
      <c r="C387" s="132" t="s">
        <v>430</v>
      </c>
      <c r="D387" s="132" t="s">
        <v>423</v>
      </c>
      <c r="E387" s="132"/>
      <c r="F387" s="132"/>
      <c r="G387" s="158">
        <f t="shared" ref="G387:I392" si="86">G388</f>
        <v>77215.299999999988</v>
      </c>
      <c r="H387" s="158">
        <f t="shared" si="86"/>
        <v>66866.993839999996</v>
      </c>
      <c r="I387" s="158">
        <f t="shared" si="86"/>
        <v>77215.299999999988</v>
      </c>
      <c r="J387" s="158">
        <f t="shared" si="73"/>
        <v>100</v>
      </c>
    </row>
    <row r="388" spans="1:10" s="208" customFormat="1" ht="13.5">
      <c r="A388" s="174" t="s">
        <v>583</v>
      </c>
      <c r="B388" s="144" t="s">
        <v>363</v>
      </c>
      <c r="C388" s="144" t="s">
        <v>430</v>
      </c>
      <c r="D388" s="144" t="s">
        <v>423</v>
      </c>
      <c r="E388" s="144" t="s">
        <v>227</v>
      </c>
      <c r="F388" s="144"/>
      <c r="G388" s="218">
        <f t="shared" si="86"/>
        <v>77215.299999999988</v>
      </c>
      <c r="H388" s="218">
        <f t="shared" si="86"/>
        <v>66866.993839999996</v>
      </c>
      <c r="I388" s="218">
        <f t="shared" si="86"/>
        <v>77215.299999999988</v>
      </c>
      <c r="J388" s="218">
        <f t="shared" si="73"/>
        <v>100</v>
      </c>
    </row>
    <row r="389" spans="1:10" s="208" customFormat="1" ht="24">
      <c r="A389" s="133" t="s">
        <v>320</v>
      </c>
      <c r="B389" s="132" t="s">
        <v>363</v>
      </c>
      <c r="C389" s="132" t="s">
        <v>430</v>
      </c>
      <c r="D389" s="132" t="s">
        <v>423</v>
      </c>
      <c r="E389" s="132" t="s">
        <v>228</v>
      </c>
      <c r="F389" s="132"/>
      <c r="G389" s="158">
        <f t="shared" si="86"/>
        <v>77215.299999999988</v>
      </c>
      <c r="H389" s="158">
        <f t="shared" si="86"/>
        <v>66866.993839999996</v>
      </c>
      <c r="I389" s="158">
        <f t="shared" si="86"/>
        <v>77215.299999999988</v>
      </c>
      <c r="J389" s="158">
        <f t="shared" si="73"/>
        <v>100</v>
      </c>
    </row>
    <row r="390" spans="1:10" s="208" customFormat="1" ht="24">
      <c r="A390" s="133" t="s">
        <v>596</v>
      </c>
      <c r="B390" s="132" t="s">
        <v>363</v>
      </c>
      <c r="C390" s="132" t="s">
        <v>430</v>
      </c>
      <c r="D390" s="132" t="s">
        <v>423</v>
      </c>
      <c r="E390" s="132" t="s">
        <v>597</v>
      </c>
      <c r="F390" s="132"/>
      <c r="G390" s="158">
        <f t="shared" si="86"/>
        <v>77215.299999999988</v>
      </c>
      <c r="H390" s="158">
        <f t="shared" si="86"/>
        <v>66866.993839999996</v>
      </c>
      <c r="I390" s="158">
        <f t="shared" si="86"/>
        <v>77215.299999999988</v>
      </c>
      <c r="J390" s="158">
        <f t="shared" si="73"/>
        <v>100</v>
      </c>
    </row>
    <row r="391" spans="1:10" s="208" customFormat="1" ht="24">
      <c r="A391" s="150" t="s">
        <v>277</v>
      </c>
      <c r="B391" s="148" t="s">
        <v>363</v>
      </c>
      <c r="C391" s="148" t="s">
        <v>430</v>
      </c>
      <c r="D391" s="148" t="s">
        <v>423</v>
      </c>
      <c r="E391" s="148" t="s">
        <v>597</v>
      </c>
      <c r="F391" s="148"/>
      <c r="G391" s="178">
        <f t="shared" si="86"/>
        <v>77215.299999999988</v>
      </c>
      <c r="H391" s="178">
        <f t="shared" si="86"/>
        <v>66866.993839999996</v>
      </c>
      <c r="I391" s="178">
        <f t="shared" si="86"/>
        <v>77215.299999999988</v>
      </c>
      <c r="J391" s="178">
        <f t="shared" si="73"/>
        <v>100</v>
      </c>
    </row>
    <row r="392" spans="1:10" s="208" customFormat="1">
      <c r="A392" s="131" t="s">
        <v>94</v>
      </c>
      <c r="B392" s="22" t="s">
        <v>363</v>
      </c>
      <c r="C392" s="22" t="s">
        <v>430</v>
      </c>
      <c r="D392" s="22" t="s">
        <v>423</v>
      </c>
      <c r="E392" s="22" t="s">
        <v>597</v>
      </c>
      <c r="F392" s="22" t="s">
        <v>362</v>
      </c>
      <c r="G392" s="156">
        <f t="shared" si="86"/>
        <v>77215.299999999988</v>
      </c>
      <c r="H392" s="156">
        <f t="shared" si="86"/>
        <v>66866.993839999996</v>
      </c>
      <c r="I392" s="156">
        <f t="shared" si="86"/>
        <v>77215.299999999988</v>
      </c>
      <c r="J392" s="156">
        <f t="shared" ref="J392:J440" si="87">I392/G392*100</f>
        <v>100</v>
      </c>
    </row>
    <row r="393" spans="1:10" s="208" customFormat="1">
      <c r="A393" s="131" t="s">
        <v>95</v>
      </c>
      <c r="B393" s="22" t="s">
        <v>363</v>
      </c>
      <c r="C393" s="22" t="s">
        <v>430</v>
      </c>
      <c r="D393" s="22" t="s">
        <v>423</v>
      </c>
      <c r="E393" s="22" t="s">
        <v>597</v>
      </c>
      <c r="F393" s="22" t="s">
        <v>371</v>
      </c>
      <c r="G393" s="156">
        <f>91090.9-370.6-3150-10355</f>
        <v>77215.299999999988</v>
      </c>
      <c r="H393" s="156">
        <v>66866.993839999996</v>
      </c>
      <c r="I393" s="156">
        <f>91090.9-370.6-3150-10355</f>
        <v>77215.299999999988</v>
      </c>
      <c r="J393" s="156">
        <f t="shared" si="87"/>
        <v>100</v>
      </c>
    </row>
    <row r="394" spans="1:10" s="208" customFormat="1">
      <c r="A394" s="133" t="s">
        <v>592</v>
      </c>
      <c r="B394" s="132" t="s">
        <v>363</v>
      </c>
      <c r="C394" s="132" t="s">
        <v>430</v>
      </c>
      <c r="D394" s="132" t="s">
        <v>430</v>
      </c>
      <c r="E394" s="132"/>
      <c r="F394" s="132"/>
      <c r="G394" s="158">
        <f t="shared" ref="G394:I395" si="88">G395</f>
        <v>2650</v>
      </c>
      <c r="H394" s="158">
        <f t="shared" si="88"/>
        <v>2335.578</v>
      </c>
      <c r="I394" s="158">
        <f t="shared" si="88"/>
        <v>2465</v>
      </c>
      <c r="J394" s="158">
        <f t="shared" si="87"/>
        <v>93.018867924528308</v>
      </c>
    </row>
    <row r="395" spans="1:10" s="208" customFormat="1" ht="13.5">
      <c r="A395" s="174" t="s">
        <v>583</v>
      </c>
      <c r="B395" s="144" t="s">
        <v>363</v>
      </c>
      <c r="C395" s="144" t="s">
        <v>430</v>
      </c>
      <c r="D395" s="144" t="s">
        <v>430</v>
      </c>
      <c r="E395" s="144" t="s">
        <v>227</v>
      </c>
      <c r="F395" s="144"/>
      <c r="G395" s="218">
        <f t="shared" si="88"/>
        <v>2650</v>
      </c>
      <c r="H395" s="218">
        <f t="shared" si="88"/>
        <v>2335.578</v>
      </c>
      <c r="I395" s="218">
        <f t="shared" si="88"/>
        <v>2465</v>
      </c>
      <c r="J395" s="218">
        <f t="shared" si="87"/>
        <v>93.018867924528308</v>
      </c>
    </row>
    <row r="396" spans="1:10" s="208" customFormat="1" ht="13.5">
      <c r="A396" s="174" t="s">
        <v>319</v>
      </c>
      <c r="B396" s="144">
        <v>603</v>
      </c>
      <c r="C396" s="144" t="s">
        <v>430</v>
      </c>
      <c r="D396" s="144" t="s">
        <v>430</v>
      </c>
      <c r="E396" s="144" t="s">
        <v>233</v>
      </c>
      <c r="F396" s="144"/>
      <c r="G396" s="218">
        <f>G397+G400+G403</f>
        <v>2650</v>
      </c>
      <c r="H396" s="218">
        <f>H397+H400+H403</f>
        <v>2335.578</v>
      </c>
      <c r="I396" s="218">
        <f>I397+I400+I403</f>
        <v>2465</v>
      </c>
      <c r="J396" s="218">
        <f t="shared" si="87"/>
        <v>93.018867924528308</v>
      </c>
    </row>
    <row r="397" spans="1:10" s="208" customFormat="1">
      <c r="A397" s="229" t="s">
        <v>234</v>
      </c>
      <c r="B397" s="132">
        <v>603</v>
      </c>
      <c r="C397" s="132" t="s">
        <v>430</v>
      </c>
      <c r="D397" s="132" t="s">
        <v>430</v>
      </c>
      <c r="E397" s="132" t="s">
        <v>593</v>
      </c>
      <c r="F397" s="132"/>
      <c r="G397" s="158">
        <f t="shared" ref="G397:I398" si="89">G398</f>
        <v>1950</v>
      </c>
      <c r="H397" s="158">
        <f t="shared" si="89"/>
        <v>1948.578</v>
      </c>
      <c r="I397" s="158">
        <f t="shared" si="89"/>
        <v>1950</v>
      </c>
      <c r="J397" s="158">
        <f t="shared" si="87"/>
        <v>100</v>
      </c>
    </row>
    <row r="398" spans="1:10" s="208" customFormat="1">
      <c r="A398" s="131" t="s">
        <v>486</v>
      </c>
      <c r="B398" s="22" t="s">
        <v>363</v>
      </c>
      <c r="C398" s="22" t="s">
        <v>430</v>
      </c>
      <c r="D398" s="22" t="s">
        <v>430</v>
      </c>
      <c r="E398" s="22" t="s">
        <v>593</v>
      </c>
      <c r="F398" s="22" t="s">
        <v>77</v>
      </c>
      <c r="G398" s="156">
        <f t="shared" si="89"/>
        <v>1950</v>
      </c>
      <c r="H398" s="156">
        <f t="shared" si="89"/>
        <v>1948.578</v>
      </c>
      <c r="I398" s="156">
        <f t="shared" si="89"/>
        <v>1950</v>
      </c>
      <c r="J398" s="156">
        <f t="shared" si="87"/>
        <v>100</v>
      </c>
    </row>
    <row r="399" spans="1:10" s="208" customFormat="1">
      <c r="A399" s="131" t="s">
        <v>78</v>
      </c>
      <c r="B399" s="22" t="s">
        <v>363</v>
      </c>
      <c r="C399" s="22" t="s">
        <v>430</v>
      </c>
      <c r="D399" s="22" t="s">
        <v>430</v>
      </c>
      <c r="E399" s="22" t="s">
        <v>593</v>
      </c>
      <c r="F399" s="22" t="s">
        <v>79</v>
      </c>
      <c r="G399" s="156">
        <f>2200-250</f>
        <v>1950</v>
      </c>
      <c r="H399" s="156">
        <v>1948.578</v>
      </c>
      <c r="I399" s="156">
        <v>1950</v>
      </c>
      <c r="J399" s="156">
        <f t="shared" si="87"/>
        <v>100</v>
      </c>
    </row>
    <row r="400" spans="1:10" s="208" customFormat="1">
      <c r="A400" s="229" t="s">
        <v>235</v>
      </c>
      <c r="B400" s="132">
        <v>603</v>
      </c>
      <c r="C400" s="132" t="s">
        <v>430</v>
      </c>
      <c r="D400" s="132" t="s">
        <v>430</v>
      </c>
      <c r="E400" s="132" t="s">
        <v>594</v>
      </c>
      <c r="F400" s="132"/>
      <c r="G400" s="158">
        <f t="shared" ref="G400:I401" si="90">G401</f>
        <v>200</v>
      </c>
      <c r="H400" s="158">
        <f t="shared" si="90"/>
        <v>12</v>
      </c>
      <c r="I400" s="158">
        <f t="shared" si="90"/>
        <v>15</v>
      </c>
      <c r="J400" s="158">
        <f t="shared" si="87"/>
        <v>7.5</v>
      </c>
    </row>
    <row r="401" spans="1:10" s="208" customFormat="1">
      <c r="A401" s="131" t="s">
        <v>486</v>
      </c>
      <c r="B401" s="22" t="s">
        <v>363</v>
      </c>
      <c r="C401" s="22" t="s">
        <v>430</v>
      </c>
      <c r="D401" s="22" t="s">
        <v>430</v>
      </c>
      <c r="E401" s="22" t="s">
        <v>594</v>
      </c>
      <c r="F401" s="22" t="s">
        <v>77</v>
      </c>
      <c r="G401" s="156">
        <f t="shared" si="90"/>
        <v>200</v>
      </c>
      <c r="H401" s="156">
        <f t="shared" si="90"/>
        <v>12</v>
      </c>
      <c r="I401" s="156">
        <f t="shared" si="90"/>
        <v>15</v>
      </c>
      <c r="J401" s="156">
        <f t="shared" si="87"/>
        <v>7.5</v>
      </c>
    </row>
    <row r="402" spans="1:10" s="208" customFormat="1">
      <c r="A402" s="131" t="s">
        <v>78</v>
      </c>
      <c r="B402" s="22" t="s">
        <v>363</v>
      </c>
      <c r="C402" s="22" t="s">
        <v>430</v>
      </c>
      <c r="D402" s="22" t="s">
        <v>430</v>
      </c>
      <c r="E402" s="22" t="s">
        <v>594</v>
      </c>
      <c r="F402" s="22" t="s">
        <v>79</v>
      </c>
      <c r="G402" s="156">
        <v>200</v>
      </c>
      <c r="H402" s="156">
        <v>12</v>
      </c>
      <c r="I402" s="156">
        <f>200-185</f>
        <v>15</v>
      </c>
      <c r="J402" s="156">
        <f t="shared" si="87"/>
        <v>7.5</v>
      </c>
    </row>
    <row r="403" spans="1:10" s="208" customFormat="1" ht="24">
      <c r="A403" s="133" t="s">
        <v>58</v>
      </c>
      <c r="B403" s="132" t="s">
        <v>363</v>
      </c>
      <c r="C403" s="132" t="s">
        <v>430</v>
      </c>
      <c r="D403" s="132" t="s">
        <v>430</v>
      </c>
      <c r="E403" s="132" t="s">
        <v>595</v>
      </c>
      <c r="F403" s="132"/>
      <c r="G403" s="158">
        <f t="shared" ref="G403:I404" si="91">G404</f>
        <v>500</v>
      </c>
      <c r="H403" s="158">
        <f t="shared" si="91"/>
        <v>375</v>
      </c>
      <c r="I403" s="158">
        <f t="shared" si="91"/>
        <v>500</v>
      </c>
      <c r="J403" s="158">
        <f t="shared" si="87"/>
        <v>100</v>
      </c>
    </row>
    <row r="404" spans="1:10" s="208" customFormat="1">
      <c r="A404" s="131" t="s">
        <v>94</v>
      </c>
      <c r="B404" s="22" t="s">
        <v>363</v>
      </c>
      <c r="C404" s="22" t="s">
        <v>430</v>
      </c>
      <c r="D404" s="22" t="s">
        <v>430</v>
      </c>
      <c r="E404" s="22" t="s">
        <v>595</v>
      </c>
      <c r="F404" s="22" t="s">
        <v>362</v>
      </c>
      <c r="G404" s="156">
        <f t="shared" si="91"/>
        <v>500</v>
      </c>
      <c r="H404" s="156">
        <f t="shared" si="91"/>
        <v>375</v>
      </c>
      <c r="I404" s="156">
        <f t="shared" si="91"/>
        <v>500</v>
      </c>
      <c r="J404" s="156">
        <f t="shared" si="87"/>
        <v>100</v>
      </c>
    </row>
    <row r="405" spans="1:10" s="208" customFormat="1" ht="24">
      <c r="A405" s="242" t="s">
        <v>669</v>
      </c>
      <c r="B405" s="22" t="s">
        <v>363</v>
      </c>
      <c r="C405" s="22" t="s">
        <v>430</v>
      </c>
      <c r="D405" s="22" t="s">
        <v>430</v>
      </c>
      <c r="E405" s="22" t="s">
        <v>595</v>
      </c>
      <c r="F405" s="22" t="s">
        <v>403</v>
      </c>
      <c r="G405" s="156">
        <v>500</v>
      </c>
      <c r="H405" s="156">
        <v>375</v>
      </c>
      <c r="I405" s="156">
        <v>500</v>
      </c>
      <c r="J405" s="156">
        <f t="shared" si="87"/>
        <v>100</v>
      </c>
    </row>
    <row r="406" spans="1:10" s="208" customFormat="1">
      <c r="A406" s="133" t="s">
        <v>585</v>
      </c>
      <c r="B406" s="132">
        <v>603</v>
      </c>
      <c r="C406" s="132" t="s">
        <v>428</v>
      </c>
      <c r="D406" s="132" t="s">
        <v>70</v>
      </c>
      <c r="E406" s="132"/>
      <c r="F406" s="132"/>
      <c r="G406" s="158">
        <f>G407+G421</f>
        <v>125654.65399999999</v>
      </c>
      <c r="H406" s="158">
        <f>H407+H421</f>
        <v>93517.593489999999</v>
      </c>
      <c r="I406" s="158">
        <f>I407+I421</f>
        <v>120553.52899999999</v>
      </c>
      <c r="J406" s="158">
        <f t="shared" si="87"/>
        <v>95.940361269865889</v>
      </c>
    </row>
    <row r="407" spans="1:10" s="208" customFormat="1">
      <c r="A407" s="133" t="s">
        <v>342</v>
      </c>
      <c r="B407" s="132">
        <v>603</v>
      </c>
      <c r="C407" s="132" t="s">
        <v>428</v>
      </c>
      <c r="D407" s="132" t="s">
        <v>69</v>
      </c>
      <c r="E407" s="132"/>
      <c r="F407" s="132"/>
      <c r="G407" s="158">
        <f t="shared" ref="G407:I408" si="92">G408</f>
        <v>92615.2</v>
      </c>
      <c r="H407" s="158">
        <f t="shared" si="92"/>
        <v>72725.436489999993</v>
      </c>
      <c r="I407" s="158">
        <f t="shared" si="92"/>
        <v>88114.2</v>
      </c>
      <c r="J407" s="158">
        <f t="shared" si="87"/>
        <v>95.140106591574607</v>
      </c>
    </row>
    <row r="408" spans="1:10" s="208" customFormat="1" ht="13.5">
      <c r="A408" s="174" t="s">
        <v>583</v>
      </c>
      <c r="B408" s="144" t="s">
        <v>363</v>
      </c>
      <c r="C408" s="144" t="s">
        <v>428</v>
      </c>
      <c r="D408" s="144" t="s">
        <v>69</v>
      </c>
      <c r="E408" s="144" t="s">
        <v>227</v>
      </c>
      <c r="F408" s="144"/>
      <c r="G408" s="218">
        <f t="shared" si="92"/>
        <v>92615.2</v>
      </c>
      <c r="H408" s="218">
        <f t="shared" si="92"/>
        <v>72725.436489999993</v>
      </c>
      <c r="I408" s="218">
        <f t="shared" si="92"/>
        <v>88114.2</v>
      </c>
      <c r="J408" s="218">
        <f t="shared" si="87"/>
        <v>95.140106591574607</v>
      </c>
    </row>
    <row r="409" spans="1:10" s="208" customFormat="1" ht="13.5" customHeight="1">
      <c r="A409" s="133" t="s">
        <v>320</v>
      </c>
      <c r="B409" s="132" t="s">
        <v>363</v>
      </c>
      <c r="C409" s="132" t="s">
        <v>428</v>
      </c>
      <c r="D409" s="132" t="s">
        <v>69</v>
      </c>
      <c r="E409" s="132" t="s">
        <v>228</v>
      </c>
      <c r="F409" s="132"/>
      <c r="G409" s="158">
        <f>G410+G414+G418</f>
        <v>92615.2</v>
      </c>
      <c r="H409" s="158">
        <f t="shared" ref="H409:I409" si="93">H410+H414+H418</f>
        <v>72725.436489999993</v>
      </c>
      <c r="I409" s="158">
        <f t="shared" si="93"/>
        <v>88114.2</v>
      </c>
      <c r="J409" s="158">
        <f t="shared" si="87"/>
        <v>95.140106591574607</v>
      </c>
    </row>
    <row r="410" spans="1:10" s="208" customFormat="1">
      <c r="A410" s="133" t="s">
        <v>488</v>
      </c>
      <c r="B410" s="132" t="s">
        <v>363</v>
      </c>
      <c r="C410" s="132" t="s">
        <v>428</v>
      </c>
      <c r="D410" s="132" t="s">
        <v>69</v>
      </c>
      <c r="E410" s="132" t="s">
        <v>238</v>
      </c>
      <c r="F410" s="132"/>
      <c r="G410" s="158">
        <f t="shared" ref="G410:I412" si="94">G411</f>
        <v>35782.199999999997</v>
      </c>
      <c r="H410" s="158">
        <f t="shared" si="94"/>
        <v>25867.655299999999</v>
      </c>
      <c r="I410" s="158">
        <f t="shared" si="94"/>
        <v>31281.199999999997</v>
      </c>
      <c r="J410" s="158">
        <f t="shared" si="87"/>
        <v>87.42111999821141</v>
      </c>
    </row>
    <row r="411" spans="1:10" s="208" customFormat="1" ht="24">
      <c r="A411" s="150" t="s">
        <v>444</v>
      </c>
      <c r="B411" s="148" t="s">
        <v>363</v>
      </c>
      <c r="C411" s="148" t="s">
        <v>428</v>
      </c>
      <c r="D411" s="148" t="s">
        <v>69</v>
      </c>
      <c r="E411" s="148" t="s">
        <v>598</v>
      </c>
      <c r="F411" s="140"/>
      <c r="G411" s="178">
        <f t="shared" si="94"/>
        <v>35782.199999999997</v>
      </c>
      <c r="H411" s="178">
        <f t="shared" si="94"/>
        <v>25867.655299999999</v>
      </c>
      <c r="I411" s="178">
        <f t="shared" si="94"/>
        <v>31281.199999999997</v>
      </c>
      <c r="J411" s="178">
        <f t="shared" si="87"/>
        <v>87.42111999821141</v>
      </c>
    </row>
    <row r="412" spans="1:10" s="208" customFormat="1">
      <c r="A412" s="131" t="s">
        <v>94</v>
      </c>
      <c r="B412" s="22" t="s">
        <v>363</v>
      </c>
      <c r="C412" s="22" t="s">
        <v>428</v>
      </c>
      <c r="D412" s="22" t="s">
        <v>69</v>
      </c>
      <c r="E412" s="22" t="s">
        <v>598</v>
      </c>
      <c r="F412" s="22" t="s">
        <v>362</v>
      </c>
      <c r="G412" s="156">
        <f t="shared" si="94"/>
        <v>35782.199999999997</v>
      </c>
      <c r="H412" s="156">
        <f t="shared" si="94"/>
        <v>25867.655299999999</v>
      </c>
      <c r="I412" s="156">
        <f t="shared" si="94"/>
        <v>31281.199999999997</v>
      </c>
      <c r="J412" s="156">
        <f t="shared" si="87"/>
        <v>87.42111999821141</v>
      </c>
    </row>
    <row r="413" spans="1:10" s="208" customFormat="1">
      <c r="A413" s="131" t="s">
        <v>95</v>
      </c>
      <c r="B413" s="22" t="s">
        <v>363</v>
      </c>
      <c r="C413" s="22" t="s">
        <v>428</v>
      </c>
      <c r="D413" s="22" t="s">
        <v>69</v>
      </c>
      <c r="E413" s="22" t="s">
        <v>598</v>
      </c>
      <c r="F413" s="22" t="s">
        <v>371</v>
      </c>
      <c r="G413" s="156">
        <f>38081.1-783.9-450-1065</f>
        <v>35782.199999999997</v>
      </c>
      <c r="H413" s="156">
        <v>25867.655299999999</v>
      </c>
      <c r="I413" s="156">
        <f>38081.1-783.9-450-1065-4501</f>
        <v>31281.199999999997</v>
      </c>
      <c r="J413" s="156">
        <f t="shared" si="87"/>
        <v>87.42111999821141</v>
      </c>
    </row>
    <row r="414" spans="1:10" s="208" customFormat="1" ht="24">
      <c r="A414" s="133" t="s">
        <v>264</v>
      </c>
      <c r="B414" s="132" t="s">
        <v>363</v>
      </c>
      <c r="C414" s="132" t="s">
        <v>428</v>
      </c>
      <c r="D414" s="132" t="s">
        <v>69</v>
      </c>
      <c r="E414" s="132" t="s">
        <v>236</v>
      </c>
      <c r="F414" s="132"/>
      <c r="G414" s="158">
        <f t="shared" ref="G414:I416" si="95">G415</f>
        <v>19626</v>
      </c>
      <c r="H414" s="158">
        <f t="shared" si="95"/>
        <v>15854.48119</v>
      </c>
      <c r="I414" s="158">
        <f t="shared" si="95"/>
        <v>19626</v>
      </c>
      <c r="J414" s="158">
        <f t="shared" si="87"/>
        <v>100</v>
      </c>
    </row>
    <row r="415" spans="1:10" s="208" customFormat="1">
      <c r="A415" s="150" t="s">
        <v>375</v>
      </c>
      <c r="B415" s="148">
        <v>603</v>
      </c>
      <c r="C415" s="148" t="s">
        <v>428</v>
      </c>
      <c r="D415" s="148" t="s">
        <v>69</v>
      </c>
      <c r="E415" s="148" t="s">
        <v>599</v>
      </c>
      <c r="F415" s="148"/>
      <c r="G415" s="178">
        <f t="shared" si="95"/>
        <v>19626</v>
      </c>
      <c r="H415" s="178">
        <f t="shared" si="95"/>
        <v>15854.48119</v>
      </c>
      <c r="I415" s="178">
        <f t="shared" si="95"/>
        <v>19626</v>
      </c>
      <c r="J415" s="178">
        <f t="shared" si="87"/>
        <v>100</v>
      </c>
    </row>
    <row r="416" spans="1:10" s="208" customFormat="1">
      <c r="A416" s="131" t="s">
        <v>94</v>
      </c>
      <c r="B416" s="22">
        <v>603</v>
      </c>
      <c r="C416" s="22" t="s">
        <v>428</v>
      </c>
      <c r="D416" s="22" t="s">
        <v>69</v>
      </c>
      <c r="E416" s="22" t="s">
        <v>599</v>
      </c>
      <c r="F416" s="22" t="s">
        <v>362</v>
      </c>
      <c r="G416" s="156">
        <f t="shared" si="95"/>
        <v>19626</v>
      </c>
      <c r="H416" s="156">
        <f t="shared" si="95"/>
        <v>15854.48119</v>
      </c>
      <c r="I416" s="156">
        <f t="shared" si="95"/>
        <v>19626</v>
      </c>
      <c r="J416" s="156">
        <f t="shared" si="87"/>
        <v>100</v>
      </c>
    </row>
    <row r="417" spans="1:10" s="208" customFormat="1">
      <c r="A417" s="131" t="s">
        <v>95</v>
      </c>
      <c r="B417" s="22">
        <v>603</v>
      </c>
      <c r="C417" s="22" t="s">
        <v>428</v>
      </c>
      <c r="D417" s="22" t="s">
        <v>69</v>
      </c>
      <c r="E417" s="22" t="s">
        <v>599</v>
      </c>
      <c r="F417" s="22" t="s">
        <v>371</v>
      </c>
      <c r="G417" s="156">
        <f>1935.5+1370+1565+11298.5-543+500+3500</f>
        <v>19626</v>
      </c>
      <c r="H417" s="156">
        <v>15854.48119</v>
      </c>
      <c r="I417" s="156">
        <f>1935.5+1370+1565+11298.5-543+500+3500</f>
        <v>19626</v>
      </c>
      <c r="J417" s="156">
        <f t="shared" si="87"/>
        <v>100</v>
      </c>
    </row>
    <row r="418" spans="1:10" s="208" customFormat="1" ht="24">
      <c r="A418" s="224" t="s">
        <v>28</v>
      </c>
      <c r="B418" s="140" t="s">
        <v>363</v>
      </c>
      <c r="C418" s="140" t="s">
        <v>428</v>
      </c>
      <c r="D418" s="140" t="s">
        <v>69</v>
      </c>
      <c r="E418" s="140" t="s">
        <v>237</v>
      </c>
      <c r="F418" s="140"/>
      <c r="G418" s="175">
        <f t="shared" ref="G418:I419" si="96">G419</f>
        <v>37207</v>
      </c>
      <c r="H418" s="175">
        <f t="shared" si="96"/>
        <v>31003.3</v>
      </c>
      <c r="I418" s="175">
        <f t="shared" si="96"/>
        <v>37207</v>
      </c>
      <c r="J418" s="175">
        <f t="shared" si="87"/>
        <v>100</v>
      </c>
    </row>
    <row r="419" spans="1:10" s="208" customFormat="1">
      <c r="A419" s="131" t="s">
        <v>94</v>
      </c>
      <c r="B419" s="22">
        <v>603</v>
      </c>
      <c r="C419" s="22" t="s">
        <v>428</v>
      </c>
      <c r="D419" s="22" t="s">
        <v>69</v>
      </c>
      <c r="E419" s="22" t="s">
        <v>237</v>
      </c>
      <c r="F419" s="22" t="s">
        <v>362</v>
      </c>
      <c r="G419" s="156">
        <f t="shared" si="96"/>
        <v>37207</v>
      </c>
      <c r="H419" s="156">
        <f t="shared" si="96"/>
        <v>31003.3</v>
      </c>
      <c r="I419" s="156">
        <f t="shared" si="96"/>
        <v>37207</v>
      </c>
      <c r="J419" s="156">
        <f t="shared" si="87"/>
        <v>100</v>
      </c>
    </row>
    <row r="420" spans="1:10" s="208" customFormat="1">
      <c r="A420" s="131" t="s">
        <v>95</v>
      </c>
      <c r="B420" s="22">
        <v>603</v>
      </c>
      <c r="C420" s="22" t="s">
        <v>428</v>
      </c>
      <c r="D420" s="22" t="s">
        <v>69</v>
      </c>
      <c r="E420" s="22" t="s">
        <v>237</v>
      </c>
      <c r="F420" s="22" t="s">
        <v>371</v>
      </c>
      <c r="G420" s="156">
        <f>36539+668</f>
        <v>37207</v>
      </c>
      <c r="H420" s="156">
        <v>31003.3</v>
      </c>
      <c r="I420" s="156">
        <f>36539+668</f>
        <v>37207</v>
      </c>
      <c r="J420" s="156">
        <f t="shared" si="87"/>
        <v>100</v>
      </c>
    </row>
    <row r="421" spans="1:10" s="219" customFormat="1">
      <c r="A421" s="133" t="s">
        <v>408</v>
      </c>
      <c r="B421" s="132">
        <v>603</v>
      </c>
      <c r="C421" s="132" t="s">
        <v>428</v>
      </c>
      <c r="D421" s="132" t="s">
        <v>71</v>
      </c>
      <c r="E421" s="132"/>
      <c r="F421" s="132"/>
      <c r="G421" s="158">
        <f>G422+G458</f>
        <v>33039.453999999998</v>
      </c>
      <c r="H421" s="158">
        <f>H422+H458</f>
        <v>20792.156999999999</v>
      </c>
      <c r="I421" s="158">
        <f>I422+I458</f>
        <v>32439.329000000002</v>
      </c>
      <c r="J421" s="158">
        <f t="shared" si="87"/>
        <v>98.183611024564769</v>
      </c>
    </row>
    <row r="422" spans="1:10" s="219" customFormat="1" ht="13.5">
      <c r="A422" s="174" t="s">
        <v>583</v>
      </c>
      <c r="B422" s="144">
        <v>603</v>
      </c>
      <c r="C422" s="144" t="s">
        <v>428</v>
      </c>
      <c r="D422" s="144" t="s">
        <v>71</v>
      </c>
      <c r="E422" s="144" t="s">
        <v>227</v>
      </c>
      <c r="F422" s="144"/>
      <c r="G422" s="218">
        <f>G423+G447</f>
        <v>32895</v>
      </c>
      <c r="H422" s="218">
        <f>H423+H447</f>
        <v>20672.111499999999</v>
      </c>
      <c r="I422" s="218">
        <f>I423+I447</f>
        <v>32294.875</v>
      </c>
      <c r="J422" s="218">
        <f t="shared" si="87"/>
        <v>98.175634594923238</v>
      </c>
    </row>
    <row r="423" spans="1:10" s="219" customFormat="1" ht="13.5">
      <c r="A423" s="174" t="s">
        <v>68</v>
      </c>
      <c r="B423" s="144" t="s">
        <v>363</v>
      </c>
      <c r="C423" s="144" t="s">
        <v>428</v>
      </c>
      <c r="D423" s="144" t="s">
        <v>71</v>
      </c>
      <c r="E423" s="144" t="s">
        <v>242</v>
      </c>
      <c r="F423" s="144"/>
      <c r="G423" s="218">
        <f>G424+G427+G430+G438+G441+G444+G435</f>
        <v>27900</v>
      </c>
      <c r="H423" s="218">
        <f t="shared" ref="H423:I423" si="97">H424+H427+H430+H438+H441+H444+H435</f>
        <v>16902.864999999998</v>
      </c>
      <c r="I423" s="218">
        <f t="shared" si="97"/>
        <v>27299.875</v>
      </c>
      <c r="J423" s="218">
        <f t="shared" si="87"/>
        <v>97.849014336917563</v>
      </c>
    </row>
    <row r="424" spans="1:10" s="219" customFormat="1">
      <c r="A424" s="229" t="s">
        <v>234</v>
      </c>
      <c r="B424" s="132" t="s">
        <v>363</v>
      </c>
      <c r="C424" s="132" t="s">
        <v>428</v>
      </c>
      <c r="D424" s="132" t="s">
        <v>71</v>
      </c>
      <c r="E424" s="132" t="s">
        <v>586</v>
      </c>
      <c r="F424" s="140"/>
      <c r="G424" s="158">
        <f t="shared" ref="G424:I425" si="98">G425</f>
        <v>24000</v>
      </c>
      <c r="H424" s="158">
        <f t="shared" si="98"/>
        <v>14152.99</v>
      </c>
      <c r="I424" s="158">
        <f t="shared" si="98"/>
        <v>24000</v>
      </c>
      <c r="J424" s="158">
        <f t="shared" si="87"/>
        <v>100</v>
      </c>
    </row>
    <row r="425" spans="1:10" s="219" customFormat="1">
      <c r="A425" s="131" t="s">
        <v>486</v>
      </c>
      <c r="B425" s="22" t="s">
        <v>363</v>
      </c>
      <c r="C425" s="22" t="s">
        <v>428</v>
      </c>
      <c r="D425" s="22" t="s">
        <v>71</v>
      </c>
      <c r="E425" s="22" t="s">
        <v>586</v>
      </c>
      <c r="F425" s="22" t="s">
        <v>77</v>
      </c>
      <c r="G425" s="156">
        <f t="shared" si="98"/>
        <v>24000</v>
      </c>
      <c r="H425" s="156">
        <f t="shared" si="98"/>
        <v>14152.99</v>
      </c>
      <c r="I425" s="156">
        <f t="shared" si="98"/>
        <v>24000</v>
      </c>
      <c r="J425" s="156">
        <f t="shared" si="87"/>
        <v>100</v>
      </c>
    </row>
    <row r="426" spans="1:10">
      <c r="A426" s="131" t="s">
        <v>78</v>
      </c>
      <c r="B426" s="22" t="s">
        <v>363</v>
      </c>
      <c r="C426" s="22" t="s">
        <v>428</v>
      </c>
      <c r="D426" s="22" t="s">
        <v>71</v>
      </c>
      <c r="E426" s="22" t="s">
        <v>586</v>
      </c>
      <c r="F426" s="22" t="s">
        <v>79</v>
      </c>
      <c r="G426" s="156">
        <f>18500+500+5000</f>
        <v>24000</v>
      </c>
      <c r="H426" s="156">
        <v>14152.99</v>
      </c>
      <c r="I426" s="156">
        <f>18500+500+5000</f>
        <v>24000</v>
      </c>
      <c r="J426" s="156">
        <f t="shared" si="87"/>
        <v>100</v>
      </c>
    </row>
    <row r="427" spans="1:10">
      <c r="A427" s="229" t="s">
        <v>316</v>
      </c>
      <c r="B427" s="132" t="s">
        <v>363</v>
      </c>
      <c r="C427" s="132" t="s">
        <v>428</v>
      </c>
      <c r="D427" s="132" t="s">
        <v>71</v>
      </c>
      <c r="E427" s="132" t="s">
        <v>587</v>
      </c>
      <c r="F427" s="140"/>
      <c r="G427" s="158">
        <f t="shared" ref="G427:I428" si="99">G428</f>
        <v>350</v>
      </c>
      <c r="H427" s="158">
        <f t="shared" si="99"/>
        <v>349.875</v>
      </c>
      <c r="I427" s="158">
        <f t="shared" si="99"/>
        <v>349.875</v>
      </c>
      <c r="J427" s="158">
        <f t="shared" si="87"/>
        <v>99.964285714285722</v>
      </c>
    </row>
    <row r="428" spans="1:10">
      <c r="A428" s="131" t="s">
        <v>486</v>
      </c>
      <c r="B428" s="22" t="s">
        <v>363</v>
      </c>
      <c r="C428" s="22" t="s">
        <v>428</v>
      </c>
      <c r="D428" s="22" t="s">
        <v>71</v>
      </c>
      <c r="E428" s="22" t="s">
        <v>587</v>
      </c>
      <c r="F428" s="22" t="s">
        <v>77</v>
      </c>
      <c r="G428" s="156">
        <f t="shared" si="99"/>
        <v>350</v>
      </c>
      <c r="H428" s="156">
        <f t="shared" si="99"/>
        <v>349.875</v>
      </c>
      <c r="I428" s="156">
        <f t="shared" si="99"/>
        <v>349.875</v>
      </c>
      <c r="J428" s="156">
        <f t="shared" si="87"/>
        <v>99.964285714285722</v>
      </c>
    </row>
    <row r="429" spans="1:10">
      <c r="A429" s="131" t="s">
        <v>78</v>
      </c>
      <c r="B429" s="22" t="s">
        <v>363</v>
      </c>
      <c r="C429" s="22" t="s">
        <v>428</v>
      </c>
      <c r="D429" s="22" t="s">
        <v>71</v>
      </c>
      <c r="E429" s="22" t="s">
        <v>587</v>
      </c>
      <c r="F429" s="22" t="s">
        <v>79</v>
      </c>
      <c r="G429" s="156">
        <f>350</f>
        <v>350</v>
      </c>
      <c r="H429" s="156">
        <v>349.875</v>
      </c>
      <c r="I429" s="156">
        <v>349.875</v>
      </c>
      <c r="J429" s="156">
        <f t="shared" si="87"/>
        <v>99.964285714285722</v>
      </c>
    </row>
    <row r="430" spans="1:10" ht="24">
      <c r="A430" s="133" t="s">
        <v>317</v>
      </c>
      <c r="B430" s="132" t="s">
        <v>363</v>
      </c>
      <c r="C430" s="132" t="s">
        <v>428</v>
      </c>
      <c r="D430" s="132" t="s">
        <v>71</v>
      </c>
      <c r="E430" s="132" t="s">
        <v>588</v>
      </c>
      <c r="F430" s="132"/>
      <c r="G430" s="158">
        <f>G431+G433</f>
        <v>200</v>
      </c>
      <c r="H430" s="158">
        <f>H431+H433</f>
        <v>100</v>
      </c>
      <c r="I430" s="158">
        <f>I431+I433</f>
        <v>100</v>
      </c>
      <c r="J430" s="158">
        <f t="shared" si="87"/>
        <v>50</v>
      </c>
    </row>
    <row r="431" spans="1:10">
      <c r="A431" s="131" t="s">
        <v>486</v>
      </c>
      <c r="B431" s="22" t="s">
        <v>363</v>
      </c>
      <c r="C431" s="22" t="s">
        <v>428</v>
      </c>
      <c r="D431" s="22" t="s">
        <v>71</v>
      </c>
      <c r="E431" s="22" t="s">
        <v>588</v>
      </c>
      <c r="F431" s="22" t="s">
        <v>77</v>
      </c>
      <c r="G431" s="176">
        <f>G432</f>
        <v>100</v>
      </c>
      <c r="H431" s="176">
        <f>H432</f>
        <v>0</v>
      </c>
      <c r="I431" s="176">
        <f>I432</f>
        <v>0</v>
      </c>
      <c r="J431" s="176">
        <f t="shared" si="87"/>
        <v>0</v>
      </c>
    </row>
    <row r="432" spans="1:10">
      <c r="A432" s="131" t="s">
        <v>78</v>
      </c>
      <c r="B432" s="22" t="s">
        <v>363</v>
      </c>
      <c r="C432" s="22" t="s">
        <v>428</v>
      </c>
      <c r="D432" s="22" t="s">
        <v>71</v>
      </c>
      <c r="E432" s="22" t="s">
        <v>588</v>
      </c>
      <c r="F432" s="22" t="s">
        <v>79</v>
      </c>
      <c r="G432" s="176">
        <f>200-100</f>
        <v>100</v>
      </c>
      <c r="H432" s="176">
        <f>200-100-100</f>
        <v>0</v>
      </c>
      <c r="I432" s="176">
        <f>200-100-100</f>
        <v>0</v>
      </c>
      <c r="J432" s="176">
        <f t="shared" si="87"/>
        <v>0</v>
      </c>
    </row>
    <row r="433" spans="1:10">
      <c r="A433" s="131" t="s">
        <v>88</v>
      </c>
      <c r="B433" s="22" t="s">
        <v>363</v>
      </c>
      <c r="C433" s="22" t="s">
        <v>428</v>
      </c>
      <c r="D433" s="22" t="s">
        <v>71</v>
      </c>
      <c r="E433" s="22" t="s">
        <v>588</v>
      </c>
      <c r="F433" s="22" t="s">
        <v>87</v>
      </c>
      <c r="G433" s="156">
        <f>G434</f>
        <v>100</v>
      </c>
      <c r="H433" s="156">
        <f>H434</f>
        <v>100</v>
      </c>
      <c r="I433" s="156">
        <f>I434</f>
        <v>100</v>
      </c>
      <c r="J433" s="156">
        <f t="shared" si="87"/>
        <v>100</v>
      </c>
    </row>
    <row r="434" spans="1:10">
      <c r="A434" s="131" t="s">
        <v>724</v>
      </c>
      <c r="B434" s="22" t="s">
        <v>363</v>
      </c>
      <c r="C434" s="22" t="s">
        <v>428</v>
      </c>
      <c r="D434" s="22" t="s">
        <v>71</v>
      </c>
      <c r="E434" s="22" t="s">
        <v>588</v>
      </c>
      <c r="F434" s="22" t="s">
        <v>725</v>
      </c>
      <c r="G434" s="156">
        <v>100</v>
      </c>
      <c r="H434" s="156">
        <v>100</v>
      </c>
      <c r="I434" s="156">
        <v>100</v>
      </c>
      <c r="J434" s="156">
        <f t="shared" si="87"/>
        <v>100</v>
      </c>
    </row>
    <row r="435" spans="1:10" ht="24">
      <c r="A435" s="133" t="s">
        <v>758</v>
      </c>
      <c r="B435" s="132" t="s">
        <v>363</v>
      </c>
      <c r="C435" s="132" t="s">
        <v>428</v>
      </c>
      <c r="D435" s="132" t="s">
        <v>71</v>
      </c>
      <c r="E435" s="132" t="s">
        <v>759</v>
      </c>
      <c r="F435" s="132"/>
      <c r="G435" s="158">
        <f t="shared" ref="G435:I436" si="100">G436</f>
        <v>2300</v>
      </c>
      <c r="H435" s="158">
        <f t="shared" si="100"/>
        <v>2300</v>
      </c>
      <c r="I435" s="158">
        <f t="shared" si="100"/>
        <v>2300</v>
      </c>
      <c r="J435" s="158">
        <f t="shared" si="87"/>
        <v>100</v>
      </c>
    </row>
    <row r="436" spans="1:10">
      <c r="A436" s="131" t="s">
        <v>486</v>
      </c>
      <c r="B436" s="22" t="s">
        <v>363</v>
      </c>
      <c r="C436" s="22" t="s">
        <v>428</v>
      </c>
      <c r="D436" s="22" t="s">
        <v>71</v>
      </c>
      <c r="E436" s="22" t="s">
        <v>759</v>
      </c>
      <c r="F436" s="22" t="s">
        <v>77</v>
      </c>
      <c r="G436" s="156">
        <f t="shared" si="100"/>
        <v>2300</v>
      </c>
      <c r="H436" s="156">
        <f t="shared" si="100"/>
        <v>2300</v>
      </c>
      <c r="I436" s="156">
        <f t="shared" si="100"/>
        <v>2300</v>
      </c>
      <c r="J436" s="156">
        <f t="shared" si="87"/>
        <v>100</v>
      </c>
    </row>
    <row r="437" spans="1:10">
      <c r="A437" s="131" t="s">
        <v>78</v>
      </c>
      <c r="B437" s="22" t="s">
        <v>363</v>
      </c>
      <c r="C437" s="22" t="s">
        <v>428</v>
      </c>
      <c r="D437" s="22" t="s">
        <v>71</v>
      </c>
      <c r="E437" s="22" t="s">
        <v>759</v>
      </c>
      <c r="F437" s="22" t="s">
        <v>79</v>
      </c>
      <c r="G437" s="156">
        <f>2300</f>
        <v>2300</v>
      </c>
      <c r="H437" s="156">
        <v>2300</v>
      </c>
      <c r="I437" s="156">
        <f>2300</f>
        <v>2300</v>
      </c>
      <c r="J437" s="156">
        <f t="shared" si="87"/>
        <v>100</v>
      </c>
    </row>
    <row r="438" spans="1:10" ht="24">
      <c r="A438" s="133" t="s">
        <v>589</v>
      </c>
      <c r="B438" s="132" t="s">
        <v>363</v>
      </c>
      <c r="C438" s="132" t="s">
        <v>428</v>
      </c>
      <c r="D438" s="132" t="s">
        <v>71</v>
      </c>
      <c r="E438" s="132" t="s">
        <v>590</v>
      </c>
      <c r="F438" s="132"/>
      <c r="G438" s="158">
        <f t="shared" ref="G438:I439" si="101">G439</f>
        <v>300</v>
      </c>
      <c r="H438" s="324">
        <f t="shared" si="101"/>
        <v>0</v>
      </c>
      <c r="I438" s="158">
        <f t="shared" si="101"/>
        <v>100</v>
      </c>
      <c r="J438" s="158">
        <f t="shared" si="87"/>
        <v>33.333333333333329</v>
      </c>
    </row>
    <row r="439" spans="1:10">
      <c r="A439" s="131" t="s">
        <v>486</v>
      </c>
      <c r="B439" s="22" t="s">
        <v>363</v>
      </c>
      <c r="C439" s="22" t="s">
        <v>428</v>
      </c>
      <c r="D439" s="22" t="s">
        <v>71</v>
      </c>
      <c r="E439" s="22" t="s">
        <v>590</v>
      </c>
      <c r="F439" s="22" t="s">
        <v>77</v>
      </c>
      <c r="G439" s="156">
        <f t="shared" si="101"/>
        <v>300</v>
      </c>
      <c r="H439" s="323">
        <f t="shared" si="101"/>
        <v>0</v>
      </c>
      <c r="I439" s="156">
        <f t="shared" si="101"/>
        <v>100</v>
      </c>
      <c r="J439" s="156">
        <f t="shared" si="87"/>
        <v>33.333333333333329</v>
      </c>
    </row>
    <row r="440" spans="1:10">
      <c r="A440" s="131" t="s">
        <v>78</v>
      </c>
      <c r="B440" s="22" t="s">
        <v>363</v>
      </c>
      <c r="C440" s="22" t="s">
        <v>428</v>
      </c>
      <c r="D440" s="22" t="s">
        <v>71</v>
      </c>
      <c r="E440" s="22" t="s">
        <v>590</v>
      </c>
      <c r="F440" s="22" t="s">
        <v>79</v>
      </c>
      <c r="G440" s="156">
        <f>300</f>
        <v>300</v>
      </c>
      <c r="H440" s="323">
        <v>0</v>
      </c>
      <c r="I440" s="156">
        <f>300-200</f>
        <v>100</v>
      </c>
      <c r="J440" s="156">
        <f t="shared" si="87"/>
        <v>33.333333333333329</v>
      </c>
    </row>
    <row r="441" spans="1:10">
      <c r="A441" s="133" t="s">
        <v>306</v>
      </c>
      <c r="B441" s="132" t="s">
        <v>363</v>
      </c>
      <c r="C441" s="132" t="s">
        <v>428</v>
      </c>
      <c r="D441" s="132" t="s">
        <v>71</v>
      </c>
      <c r="E441" s="132" t="s">
        <v>591</v>
      </c>
      <c r="F441" s="132"/>
      <c r="G441" s="158">
        <f t="shared" ref="G441:I442" si="102">G442</f>
        <v>450</v>
      </c>
      <c r="H441" s="324">
        <f t="shared" si="102"/>
        <v>0</v>
      </c>
      <c r="I441" s="158">
        <f t="shared" si="102"/>
        <v>450</v>
      </c>
      <c r="J441" s="158">
        <f t="shared" ref="J441:J507" si="103">I441/G441*100</f>
        <v>100</v>
      </c>
    </row>
    <row r="442" spans="1:10">
      <c r="A442" s="131" t="s">
        <v>486</v>
      </c>
      <c r="B442" s="22" t="s">
        <v>363</v>
      </c>
      <c r="C442" s="22" t="s">
        <v>428</v>
      </c>
      <c r="D442" s="22" t="s">
        <v>71</v>
      </c>
      <c r="E442" s="22" t="s">
        <v>591</v>
      </c>
      <c r="F442" s="22" t="s">
        <v>77</v>
      </c>
      <c r="G442" s="156">
        <f t="shared" si="102"/>
        <v>450</v>
      </c>
      <c r="H442" s="323">
        <f t="shared" si="102"/>
        <v>0</v>
      </c>
      <c r="I442" s="156">
        <f t="shared" si="102"/>
        <v>450</v>
      </c>
      <c r="J442" s="156">
        <f t="shared" si="103"/>
        <v>100</v>
      </c>
    </row>
    <row r="443" spans="1:10">
      <c r="A443" s="131" t="s">
        <v>78</v>
      </c>
      <c r="B443" s="22" t="s">
        <v>363</v>
      </c>
      <c r="C443" s="22" t="s">
        <v>428</v>
      </c>
      <c r="D443" s="22" t="s">
        <v>71</v>
      </c>
      <c r="E443" s="22" t="s">
        <v>591</v>
      </c>
      <c r="F443" s="22" t="s">
        <v>79</v>
      </c>
      <c r="G443" s="156">
        <v>450</v>
      </c>
      <c r="H443" s="323">
        <v>0</v>
      </c>
      <c r="I443" s="156">
        <v>450</v>
      </c>
      <c r="J443" s="156">
        <f t="shared" si="103"/>
        <v>100</v>
      </c>
    </row>
    <row r="444" spans="1:10">
      <c r="A444" s="133" t="s">
        <v>792</v>
      </c>
      <c r="B444" s="132" t="s">
        <v>363</v>
      </c>
      <c r="C444" s="132" t="s">
        <v>428</v>
      </c>
      <c r="D444" s="132" t="s">
        <v>71</v>
      </c>
      <c r="E444" s="132" t="s">
        <v>791</v>
      </c>
      <c r="F444" s="132"/>
      <c r="G444" s="196">
        <f t="shared" ref="G444:I445" si="104">G445</f>
        <v>300</v>
      </c>
      <c r="H444" s="196">
        <f t="shared" si="104"/>
        <v>0</v>
      </c>
      <c r="I444" s="196">
        <f t="shared" si="104"/>
        <v>0</v>
      </c>
      <c r="J444" s="196">
        <f t="shared" si="103"/>
        <v>0</v>
      </c>
    </row>
    <row r="445" spans="1:10">
      <c r="A445" s="131" t="s">
        <v>486</v>
      </c>
      <c r="B445" s="22" t="s">
        <v>363</v>
      </c>
      <c r="C445" s="22" t="s">
        <v>428</v>
      </c>
      <c r="D445" s="22" t="s">
        <v>71</v>
      </c>
      <c r="E445" s="22" t="s">
        <v>791</v>
      </c>
      <c r="F445" s="22" t="s">
        <v>77</v>
      </c>
      <c r="G445" s="176">
        <f t="shared" si="104"/>
        <v>300</v>
      </c>
      <c r="H445" s="176">
        <f t="shared" si="104"/>
        <v>0</v>
      </c>
      <c r="I445" s="176">
        <f t="shared" si="104"/>
        <v>0</v>
      </c>
      <c r="J445" s="176">
        <f t="shared" si="103"/>
        <v>0</v>
      </c>
    </row>
    <row r="446" spans="1:10">
      <c r="A446" s="131" t="s">
        <v>78</v>
      </c>
      <c r="B446" s="22" t="s">
        <v>363</v>
      </c>
      <c r="C446" s="22" t="s">
        <v>428</v>
      </c>
      <c r="D446" s="22" t="s">
        <v>71</v>
      </c>
      <c r="E446" s="22" t="s">
        <v>791</v>
      </c>
      <c r="F446" s="22" t="s">
        <v>79</v>
      </c>
      <c r="G446" s="176">
        <f>300</f>
        <v>300</v>
      </c>
      <c r="H446" s="176">
        <v>0</v>
      </c>
      <c r="I446" s="176">
        <f>300-300</f>
        <v>0</v>
      </c>
      <c r="J446" s="176">
        <f t="shared" si="103"/>
        <v>0</v>
      </c>
    </row>
    <row r="447" spans="1:10" ht="27">
      <c r="A447" s="174" t="s">
        <v>239</v>
      </c>
      <c r="B447" s="144">
        <v>603</v>
      </c>
      <c r="C447" s="144" t="s">
        <v>428</v>
      </c>
      <c r="D447" s="144" t="s">
        <v>71</v>
      </c>
      <c r="E447" s="144" t="s">
        <v>241</v>
      </c>
      <c r="F447" s="144"/>
      <c r="G447" s="218">
        <f t="shared" ref="G447:I448" si="105">G448</f>
        <v>4995</v>
      </c>
      <c r="H447" s="218">
        <f t="shared" si="105"/>
        <v>3769.2465000000002</v>
      </c>
      <c r="I447" s="218">
        <f t="shared" si="105"/>
        <v>4995</v>
      </c>
      <c r="J447" s="218">
        <f t="shared" si="103"/>
        <v>100</v>
      </c>
    </row>
    <row r="448" spans="1:10" ht="24">
      <c r="A448" s="133" t="s">
        <v>240</v>
      </c>
      <c r="B448" s="132">
        <v>603</v>
      </c>
      <c r="C448" s="132" t="s">
        <v>428</v>
      </c>
      <c r="D448" s="132" t="s">
        <v>71</v>
      </c>
      <c r="E448" s="132" t="s">
        <v>241</v>
      </c>
      <c r="F448" s="132"/>
      <c r="G448" s="158">
        <f t="shared" si="105"/>
        <v>4995</v>
      </c>
      <c r="H448" s="158">
        <f t="shared" si="105"/>
        <v>3769.2465000000002</v>
      </c>
      <c r="I448" s="158">
        <f t="shared" si="105"/>
        <v>4995</v>
      </c>
      <c r="J448" s="158">
        <f t="shared" si="103"/>
        <v>100</v>
      </c>
    </row>
    <row r="449" spans="1:10" ht="24">
      <c r="A449" s="224" t="s">
        <v>364</v>
      </c>
      <c r="B449" s="140">
        <v>603</v>
      </c>
      <c r="C449" s="140" t="s">
        <v>428</v>
      </c>
      <c r="D449" s="140" t="s">
        <v>71</v>
      </c>
      <c r="E449" s="148" t="s">
        <v>241</v>
      </c>
      <c r="F449" s="140"/>
      <c r="G449" s="178">
        <f>G450+G453</f>
        <v>4995</v>
      </c>
      <c r="H449" s="178">
        <f>H450+H453</f>
        <v>3769.2465000000002</v>
      </c>
      <c r="I449" s="178">
        <f>I450+I453</f>
        <v>4995</v>
      </c>
      <c r="J449" s="178">
        <f t="shared" si="103"/>
        <v>100</v>
      </c>
    </row>
    <row r="450" spans="1:10">
      <c r="A450" s="212" t="s">
        <v>347</v>
      </c>
      <c r="B450" s="132" t="s">
        <v>363</v>
      </c>
      <c r="C450" s="132" t="s">
        <v>428</v>
      </c>
      <c r="D450" s="132" t="s">
        <v>71</v>
      </c>
      <c r="E450" s="132" t="s">
        <v>65</v>
      </c>
      <c r="F450" s="132"/>
      <c r="G450" s="158">
        <f t="shared" ref="G450:I451" si="106">G451</f>
        <v>4495</v>
      </c>
      <c r="H450" s="158">
        <f t="shared" si="106"/>
        <v>3297.7153800000001</v>
      </c>
      <c r="I450" s="158">
        <f t="shared" si="106"/>
        <v>4495</v>
      </c>
      <c r="J450" s="158">
        <f t="shared" si="103"/>
        <v>100</v>
      </c>
    </row>
    <row r="451" spans="1:10" ht="15.75" customHeight="1">
      <c r="A451" s="131" t="s">
        <v>72</v>
      </c>
      <c r="B451" s="22" t="s">
        <v>363</v>
      </c>
      <c r="C451" s="22" t="s">
        <v>428</v>
      </c>
      <c r="D451" s="22" t="s">
        <v>71</v>
      </c>
      <c r="E451" s="22" t="s">
        <v>65</v>
      </c>
      <c r="F451" s="22" t="s">
        <v>73</v>
      </c>
      <c r="G451" s="156">
        <f t="shared" si="106"/>
        <v>4495</v>
      </c>
      <c r="H451" s="156">
        <f t="shared" si="106"/>
        <v>3297.7153800000001</v>
      </c>
      <c r="I451" s="156">
        <f t="shared" si="106"/>
        <v>4495</v>
      </c>
      <c r="J451" s="156">
        <f t="shared" si="103"/>
        <v>100</v>
      </c>
    </row>
    <row r="452" spans="1:10" ht="15.75" customHeight="1">
      <c r="A452" s="131" t="s">
        <v>74</v>
      </c>
      <c r="B452" s="22" t="s">
        <v>363</v>
      </c>
      <c r="C452" s="22" t="s">
        <v>428</v>
      </c>
      <c r="D452" s="22" t="s">
        <v>71</v>
      </c>
      <c r="E452" s="22" t="s">
        <v>65</v>
      </c>
      <c r="F452" s="22" t="s">
        <v>75</v>
      </c>
      <c r="G452" s="156">
        <f>2965+885+645</f>
        <v>4495</v>
      </c>
      <c r="H452" s="156">
        <v>3297.7153800000001</v>
      </c>
      <c r="I452" s="156">
        <f>2965+885+645</f>
        <v>4495</v>
      </c>
      <c r="J452" s="156">
        <f t="shared" si="103"/>
        <v>100</v>
      </c>
    </row>
    <row r="453" spans="1:10" ht="15.75" customHeight="1">
      <c r="A453" s="133" t="s">
        <v>76</v>
      </c>
      <c r="B453" s="132" t="s">
        <v>363</v>
      </c>
      <c r="C453" s="132" t="s">
        <v>428</v>
      </c>
      <c r="D453" s="132" t="s">
        <v>71</v>
      </c>
      <c r="E453" s="132" t="s">
        <v>66</v>
      </c>
      <c r="F453" s="132"/>
      <c r="G453" s="158">
        <f>G454+G456</f>
        <v>500</v>
      </c>
      <c r="H453" s="158">
        <f>H454+H456</f>
        <v>471.53111999999999</v>
      </c>
      <c r="I453" s="158">
        <f>I454+I456</f>
        <v>500</v>
      </c>
      <c r="J453" s="158">
        <f t="shared" si="103"/>
        <v>100</v>
      </c>
    </row>
    <row r="454" spans="1:10" ht="15.75" customHeight="1">
      <c r="A454" s="131" t="s">
        <v>486</v>
      </c>
      <c r="B454" s="22" t="s">
        <v>363</v>
      </c>
      <c r="C454" s="22" t="s">
        <v>428</v>
      </c>
      <c r="D454" s="22" t="s">
        <v>71</v>
      </c>
      <c r="E454" s="22" t="s">
        <v>66</v>
      </c>
      <c r="F454" s="22" t="s">
        <v>77</v>
      </c>
      <c r="G454" s="156">
        <f>G455</f>
        <v>495</v>
      </c>
      <c r="H454" s="156">
        <f>H455</f>
        <v>471.24829</v>
      </c>
      <c r="I454" s="156">
        <f>I455</f>
        <v>495</v>
      </c>
      <c r="J454" s="156">
        <f t="shared" si="103"/>
        <v>100</v>
      </c>
    </row>
    <row r="455" spans="1:10" ht="15.75" customHeight="1">
      <c r="A455" s="131" t="s">
        <v>78</v>
      </c>
      <c r="B455" s="22" t="s">
        <v>363</v>
      </c>
      <c r="C455" s="22" t="s">
        <v>428</v>
      </c>
      <c r="D455" s="22" t="s">
        <v>71</v>
      </c>
      <c r="E455" s="22" t="s">
        <v>66</v>
      </c>
      <c r="F455" s="22" t="s">
        <v>79</v>
      </c>
      <c r="G455" s="156">
        <f>205+250+40</f>
        <v>495</v>
      </c>
      <c r="H455" s="156">
        <v>471.24829</v>
      </c>
      <c r="I455" s="156">
        <f>205+250+40</f>
        <v>495</v>
      </c>
      <c r="J455" s="156">
        <f t="shared" si="103"/>
        <v>100</v>
      </c>
    </row>
    <row r="456" spans="1:10" ht="15.75" customHeight="1">
      <c r="A456" s="131" t="s">
        <v>80</v>
      </c>
      <c r="B456" s="22" t="s">
        <v>363</v>
      </c>
      <c r="C456" s="22" t="s">
        <v>428</v>
      </c>
      <c r="D456" s="22" t="s">
        <v>71</v>
      </c>
      <c r="E456" s="22" t="s">
        <v>66</v>
      </c>
      <c r="F456" s="22" t="s">
        <v>81</v>
      </c>
      <c r="G456" s="156">
        <f>G457</f>
        <v>5</v>
      </c>
      <c r="H456" s="156">
        <f>H457</f>
        <v>0.28283000000000003</v>
      </c>
      <c r="I456" s="156">
        <f>I457</f>
        <v>5</v>
      </c>
      <c r="J456" s="156">
        <f t="shared" si="103"/>
        <v>100</v>
      </c>
    </row>
    <row r="457" spans="1:10" ht="15.75" customHeight="1">
      <c r="A457" s="131" t="s">
        <v>445</v>
      </c>
      <c r="B457" s="22" t="s">
        <v>363</v>
      </c>
      <c r="C457" s="22" t="s">
        <v>428</v>
      </c>
      <c r="D457" s="22" t="s">
        <v>71</v>
      </c>
      <c r="E457" s="22" t="s">
        <v>66</v>
      </c>
      <c r="F457" s="22" t="s">
        <v>82</v>
      </c>
      <c r="G457" s="156">
        <f>45-40</f>
        <v>5</v>
      </c>
      <c r="H457" s="156">
        <v>0.28283000000000003</v>
      </c>
      <c r="I457" s="156">
        <f>45-40</f>
        <v>5</v>
      </c>
      <c r="J457" s="156">
        <f t="shared" si="103"/>
        <v>100</v>
      </c>
    </row>
    <row r="458" spans="1:10" ht="15.75" customHeight="1">
      <c r="A458" s="173" t="s">
        <v>67</v>
      </c>
      <c r="B458" s="140" t="s">
        <v>363</v>
      </c>
      <c r="C458" s="140" t="s">
        <v>428</v>
      </c>
      <c r="D458" s="140" t="s">
        <v>71</v>
      </c>
      <c r="E458" s="140" t="s">
        <v>187</v>
      </c>
      <c r="F458" s="22"/>
      <c r="G458" s="175">
        <f t="shared" ref="G458:I461" si="107">G459</f>
        <v>144.45400000000001</v>
      </c>
      <c r="H458" s="175">
        <f t="shared" si="107"/>
        <v>120.0455</v>
      </c>
      <c r="I458" s="175">
        <f t="shared" si="107"/>
        <v>144.45400000000001</v>
      </c>
      <c r="J458" s="175">
        <f t="shared" si="103"/>
        <v>100</v>
      </c>
    </row>
    <row r="459" spans="1:10" ht="15.75" customHeight="1">
      <c r="A459" s="212" t="s">
        <v>272</v>
      </c>
      <c r="B459" s="132" t="s">
        <v>363</v>
      </c>
      <c r="C459" s="132" t="s">
        <v>428</v>
      </c>
      <c r="D459" s="132" t="s">
        <v>71</v>
      </c>
      <c r="E459" s="132" t="s">
        <v>188</v>
      </c>
      <c r="F459" s="22"/>
      <c r="G459" s="158">
        <f t="shared" si="107"/>
        <v>144.45400000000001</v>
      </c>
      <c r="H459" s="158">
        <f t="shared" si="107"/>
        <v>120.0455</v>
      </c>
      <c r="I459" s="158">
        <f t="shared" si="107"/>
        <v>144.45400000000001</v>
      </c>
      <c r="J459" s="158">
        <f t="shared" si="103"/>
        <v>100</v>
      </c>
    </row>
    <row r="460" spans="1:10" ht="15.75" customHeight="1">
      <c r="A460" s="133" t="s">
        <v>774</v>
      </c>
      <c r="B460" s="132" t="s">
        <v>363</v>
      </c>
      <c r="C460" s="132" t="s">
        <v>428</v>
      </c>
      <c r="D460" s="132" t="s">
        <v>71</v>
      </c>
      <c r="E460" s="132" t="s">
        <v>769</v>
      </c>
      <c r="F460" s="132"/>
      <c r="G460" s="158">
        <f t="shared" si="107"/>
        <v>144.45400000000001</v>
      </c>
      <c r="H460" s="158">
        <f t="shared" si="107"/>
        <v>120.0455</v>
      </c>
      <c r="I460" s="158">
        <f t="shared" si="107"/>
        <v>144.45400000000001</v>
      </c>
      <c r="J460" s="158">
        <f t="shared" si="103"/>
        <v>100</v>
      </c>
    </row>
    <row r="461" spans="1:10" ht="15.75" customHeight="1">
      <c r="A461" s="131" t="s">
        <v>72</v>
      </c>
      <c r="B461" s="22" t="s">
        <v>363</v>
      </c>
      <c r="C461" s="22" t="s">
        <v>428</v>
      </c>
      <c r="D461" s="22" t="s">
        <v>71</v>
      </c>
      <c r="E461" s="22" t="s">
        <v>769</v>
      </c>
      <c r="F461" s="22" t="s">
        <v>73</v>
      </c>
      <c r="G461" s="156">
        <f t="shared" si="107"/>
        <v>144.45400000000001</v>
      </c>
      <c r="H461" s="156">
        <f t="shared" si="107"/>
        <v>120.0455</v>
      </c>
      <c r="I461" s="156">
        <f t="shared" si="107"/>
        <v>144.45400000000001</v>
      </c>
      <c r="J461" s="156">
        <f t="shared" si="103"/>
        <v>100</v>
      </c>
    </row>
    <row r="462" spans="1:10" ht="15.75" customHeight="1">
      <c r="A462" s="131" t="s">
        <v>74</v>
      </c>
      <c r="B462" s="22" t="s">
        <v>363</v>
      </c>
      <c r="C462" s="22" t="s">
        <v>428</v>
      </c>
      <c r="D462" s="22" t="s">
        <v>71</v>
      </c>
      <c r="E462" s="22" t="s">
        <v>769</v>
      </c>
      <c r="F462" s="22" t="s">
        <v>75</v>
      </c>
      <c r="G462" s="156">
        <v>144.45400000000001</v>
      </c>
      <c r="H462" s="156">
        <v>120.0455</v>
      </c>
      <c r="I462" s="156">
        <v>144.45400000000001</v>
      </c>
      <c r="J462" s="156">
        <f t="shared" si="103"/>
        <v>100</v>
      </c>
    </row>
    <row r="463" spans="1:10" ht="31.5">
      <c r="A463" s="213" t="s">
        <v>124</v>
      </c>
      <c r="B463" s="214" t="s">
        <v>123</v>
      </c>
      <c r="C463" s="151"/>
      <c r="D463" s="151"/>
      <c r="E463" s="151"/>
      <c r="F463" s="151"/>
      <c r="G463" s="215">
        <f>G464+G474+G536</f>
        <v>504420.86426</v>
      </c>
      <c r="H463" s="215">
        <f>H464+H474+H536</f>
        <v>393199.83470999997</v>
      </c>
      <c r="I463" s="215">
        <f>I464+I474+I536</f>
        <v>498420.86426</v>
      </c>
      <c r="J463" s="215">
        <f t="shared" si="103"/>
        <v>98.810517085013487</v>
      </c>
    </row>
    <row r="464" spans="1:10">
      <c r="A464" s="133" t="s">
        <v>321</v>
      </c>
      <c r="B464" s="132" t="s">
        <v>123</v>
      </c>
      <c r="C464" s="132" t="s">
        <v>71</v>
      </c>
      <c r="D464" s="132" t="s">
        <v>70</v>
      </c>
      <c r="E464" s="132"/>
      <c r="F464" s="132"/>
      <c r="G464" s="158">
        <f t="shared" ref="G464:I466" si="108">G465</f>
        <v>9063.4</v>
      </c>
      <c r="H464" s="158">
        <f t="shared" si="108"/>
        <v>7315.3593899999996</v>
      </c>
      <c r="I464" s="158">
        <f t="shared" si="108"/>
        <v>9063.4</v>
      </c>
      <c r="J464" s="158">
        <f t="shared" si="103"/>
        <v>100</v>
      </c>
    </row>
    <row r="465" spans="1:10">
      <c r="A465" s="133" t="s">
        <v>331</v>
      </c>
      <c r="B465" s="132" t="s">
        <v>123</v>
      </c>
      <c r="C465" s="132" t="s">
        <v>71</v>
      </c>
      <c r="D465" s="132" t="s">
        <v>430</v>
      </c>
      <c r="E465" s="132"/>
      <c r="F465" s="132"/>
      <c r="G465" s="158">
        <f t="shared" si="108"/>
        <v>9063.4</v>
      </c>
      <c r="H465" s="158">
        <f t="shared" si="108"/>
        <v>7315.3593899999996</v>
      </c>
      <c r="I465" s="158">
        <f t="shared" si="108"/>
        <v>9063.4</v>
      </c>
      <c r="J465" s="158">
        <f t="shared" si="103"/>
        <v>100</v>
      </c>
    </row>
    <row r="466" spans="1:10" ht="27">
      <c r="A466" s="174" t="s">
        <v>671</v>
      </c>
      <c r="B466" s="144" t="s">
        <v>123</v>
      </c>
      <c r="C466" s="144" t="s">
        <v>71</v>
      </c>
      <c r="D466" s="144" t="s">
        <v>430</v>
      </c>
      <c r="E466" s="228" t="s">
        <v>225</v>
      </c>
      <c r="F466" s="144"/>
      <c r="G466" s="218">
        <f t="shared" si="108"/>
        <v>9063.4</v>
      </c>
      <c r="H466" s="218">
        <f t="shared" si="108"/>
        <v>7315.3593899999996</v>
      </c>
      <c r="I466" s="218">
        <f t="shared" si="108"/>
        <v>9063.4</v>
      </c>
      <c r="J466" s="218">
        <f t="shared" si="103"/>
        <v>100</v>
      </c>
    </row>
    <row r="467" spans="1:10">
      <c r="A467" s="133" t="s">
        <v>230</v>
      </c>
      <c r="B467" s="132" t="s">
        <v>123</v>
      </c>
      <c r="C467" s="132" t="s">
        <v>71</v>
      </c>
      <c r="D467" s="132" t="s">
        <v>430</v>
      </c>
      <c r="E467" s="132" t="s">
        <v>600</v>
      </c>
      <c r="F467" s="132"/>
      <c r="G467" s="158">
        <f>G468+G470+G472</f>
        <v>9063.4</v>
      </c>
      <c r="H467" s="158">
        <f>H468+H470+H472</f>
        <v>7315.3593899999996</v>
      </c>
      <c r="I467" s="158">
        <f>I468+I470+I472</f>
        <v>9063.4</v>
      </c>
      <c r="J467" s="158">
        <f t="shared" si="103"/>
        <v>100</v>
      </c>
    </row>
    <row r="468" spans="1:10" ht="36">
      <c r="A468" s="131" t="s">
        <v>72</v>
      </c>
      <c r="B468" s="22" t="s">
        <v>123</v>
      </c>
      <c r="C468" s="22" t="s">
        <v>71</v>
      </c>
      <c r="D468" s="22" t="s">
        <v>430</v>
      </c>
      <c r="E468" s="22" t="s">
        <v>600</v>
      </c>
      <c r="F468" s="22" t="s">
        <v>73</v>
      </c>
      <c r="G468" s="156">
        <f>G469</f>
        <v>7800</v>
      </c>
      <c r="H468" s="156">
        <f>H469</f>
        <v>6612.1322899999996</v>
      </c>
      <c r="I468" s="156">
        <f>I469</f>
        <v>7800</v>
      </c>
      <c r="J468" s="156">
        <f t="shared" si="103"/>
        <v>100</v>
      </c>
    </row>
    <row r="469" spans="1:10">
      <c r="A469" s="131" t="s">
        <v>426</v>
      </c>
      <c r="B469" s="22" t="s">
        <v>123</v>
      </c>
      <c r="C469" s="22" t="s">
        <v>71</v>
      </c>
      <c r="D469" s="22" t="s">
        <v>430</v>
      </c>
      <c r="E469" s="22" t="s">
        <v>600</v>
      </c>
      <c r="F469" s="22" t="s">
        <v>427</v>
      </c>
      <c r="G469" s="156">
        <v>7800</v>
      </c>
      <c r="H469" s="156">
        <v>6612.1322899999996</v>
      </c>
      <c r="I469" s="156">
        <v>7800</v>
      </c>
      <c r="J469" s="156">
        <f t="shared" si="103"/>
        <v>100</v>
      </c>
    </row>
    <row r="470" spans="1:10">
      <c r="A470" s="131" t="s">
        <v>486</v>
      </c>
      <c r="B470" s="22" t="s">
        <v>123</v>
      </c>
      <c r="C470" s="22" t="s">
        <v>71</v>
      </c>
      <c r="D470" s="22" t="s">
        <v>430</v>
      </c>
      <c r="E470" s="22" t="s">
        <v>600</v>
      </c>
      <c r="F470" s="22" t="s">
        <v>77</v>
      </c>
      <c r="G470" s="156">
        <f>G471</f>
        <v>1224</v>
      </c>
      <c r="H470" s="156">
        <f>H471</f>
        <v>672.1721</v>
      </c>
      <c r="I470" s="156">
        <f>I471</f>
        <v>1224</v>
      </c>
      <c r="J470" s="156">
        <f t="shared" si="103"/>
        <v>100</v>
      </c>
    </row>
    <row r="471" spans="1:10">
      <c r="A471" s="131" t="s">
        <v>78</v>
      </c>
      <c r="B471" s="22" t="s">
        <v>123</v>
      </c>
      <c r="C471" s="22" t="s">
        <v>71</v>
      </c>
      <c r="D471" s="22" t="s">
        <v>430</v>
      </c>
      <c r="E471" s="22" t="s">
        <v>600</v>
      </c>
      <c r="F471" s="22" t="s">
        <v>79</v>
      </c>
      <c r="G471" s="156">
        <v>1224</v>
      </c>
      <c r="H471" s="156">
        <v>672.1721</v>
      </c>
      <c r="I471" s="156">
        <v>1224</v>
      </c>
      <c r="J471" s="156">
        <f t="shared" si="103"/>
        <v>100</v>
      </c>
    </row>
    <row r="472" spans="1:10">
      <c r="A472" s="131" t="s">
        <v>80</v>
      </c>
      <c r="B472" s="22" t="s">
        <v>123</v>
      </c>
      <c r="C472" s="22" t="s">
        <v>71</v>
      </c>
      <c r="D472" s="22" t="s">
        <v>430</v>
      </c>
      <c r="E472" s="22" t="s">
        <v>600</v>
      </c>
      <c r="F472" s="22" t="s">
        <v>81</v>
      </c>
      <c r="G472" s="156">
        <f>G473</f>
        <v>39.4</v>
      </c>
      <c r="H472" s="156">
        <f>H473</f>
        <v>31.055</v>
      </c>
      <c r="I472" s="156">
        <f>I473</f>
        <v>39.4</v>
      </c>
      <c r="J472" s="156">
        <f t="shared" si="103"/>
        <v>100</v>
      </c>
    </row>
    <row r="473" spans="1:10">
      <c r="A473" s="131" t="s">
        <v>445</v>
      </c>
      <c r="B473" s="22" t="s">
        <v>123</v>
      </c>
      <c r="C473" s="22" t="s">
        <v>71</v>
      </c>
      <c r="D473" s="22" t="s">
        <v>430</v>
      </c>
      <c r="E473" s="22" t="s">
        <v>600</v>
      </c>
      <c r="F473" s="22" t="s">
        <v>82</v>
      </c>
      <c r="G473" s="156">
        <v>39.4</v>
      </c>
      <c r="H473" s="156">
        <v>31.055</v>
      </c>
      <c r="I473" s="156">
        <v>39.4</v>
      </c>
      <c r="J473" s="156">
        <f t="shared" si="103"/>
        <v>100</v>
      </c>
    </row>
    <row r="474" spans="1:10">
      <c r="A474" s="133" t="s">
        <v>333</v>
      </c>
      <c r="B474" s="132" t="s">
        <v>123</v>
      </c>
      <c r="C474" s="132" t="s">
        <v>376</v>
      </c>
      <c r="D474" s="132" t="s">
        <v>70</v>
      </c>
      <c r="E474" s="132"/>
      <c r="F474" s="132"/>
      <c r="G474" s="158">
        <f>G475+G519</f>
        <v>495230.30225999997</v>
      </c>
      <c r="H474" s="158">
        <f>H475+H519</f>
        <v>385757.31331999996</v>
      </c>
      <c r="I474" s="158">
        <f>I475+I519</f>
        <v>489230.30225999997</v>
      </c>
      <c r="J474" s="158">
        <f t="shared" si="103"/>
        <v>98.788442473608981</v>
      </c>
    </row>
    <row r="475" spans="1:10">
      <c r="A475" s="133" t="s">
        <v>336</v>
      </c>
      <c r="B475" s="132" t="s">
        <v>123</v>
      </c>
      <c r="C475" s="132" t="s">
        <v>376</v>
      </c>
      <c r="D475" s="132" t="s">
        <v>423</v>
      </c>
      <c r="E475" s="132"/>
      <c r="F475" s="132"/>
      <c r="G475" s="158">
        <f>G476+G507+G514</f>
        <v>487662.86825999996</v>
      </c>
      <c r="H475" s="158">
        <f>H476+H507+H514</f>
        <v>379754.03849999997</v>
      </c>
      <c r="I475" s="158">
        <f>I476+I507+I514</f>
        <v>481662.86825999996</v>
      </c>
      <c r="J475" s="158">
        <f t="shared" si="103"/>
        <v>98.769641818043624</v>
      </c>
    </row>
    <row r="476" spans="1:10" ht="27">
      <c r="A476" s="174" t="s">
        <v>671</v>
      </c>
      <c r="B476" s="144" t="s">
        <v>123</v>
      </c>
      <c r="C476" s="144" t="s">
        <v>376</v>
      </c>
      <c r="D476" s="144" t="s">
        <v>423</v>
      </c>
      <c r="E476" s="228" t="s">
        <v>225</v>
      </c>
      <c r="F476" s="144"/>
      <c r="G476" s="218">
        <f>G477+G480+G483+G486+G489+G492+G495+G498+G501+G504</f>
        <v>392868.2</v>
      </c>
      <c r="H476" s="218">
        <f>H477+H480+H483+H486+H489+H492+H495+H498+H501+H504</f>
        <v>298830.30949999997</v>
      </c>
      <c r="I476" s="218">
        <f>I477+I480+I483+I486+I489+I492+I495+I498+I501+I504</f>
        <v>386868.2</v>
      </c>
      <c r="J476" s="218">
        <f t="shared" si="103"/>
        <v>98.472770257302571</v>
      </c>
    </row>
    <row r="477" spans="1:10">
      <c r="A477" s="229" t="s">
        <v>491</v>
      </c>
      <c r="B477" s="132" t="s">
        <v>123</v>
      </c>
      <c r="C477" s="132" t="s">
        <v>376</v>
      </c>
      <c r="D477" s="132" t="s">
        <v>423</v>
      </c>
      <c r="E477" s="132" t="s">
        <v>601</v>
      </c>
      <c r="F477" s="132"/>
      <c r="G477" s="158">
        <f t="shared" ref="G477:I478" si="109">G478</f>
        <v>16800</v>
      </c>
      <c r="H477" s="158">
        <f t="shared" si="109"/>
        <v>7419.6350000000002</v>
      </c>
      <c r="I477" s="158">
        <f t="shared" si="109"/>
        <v>11800</v>
      </c>
      <c r="J477" s="158">
        <f t="shared" si="103"/>
        <v>70.238095238095227</v>
      </c>
    </row>
    <row r="478" spans="1:10">
      <c r="A478" s="131" t="s">
        <v>486</v>
      </c>
      <c r="B478" s="22" t="s">
        <v>123</v>
      </c>
      <c r="C478" s="22" t="s">
        <v>376</v>
      </c>
      <c r="D478" s="22" t="s">
        <v>423</v>
      </c>
      <c r="E478" s="22" t="s">
        <v>601</v>
      </c>
      <c r="F478" s="22" t="s">
        <v>77</v>
      </c>
      <c r="G478" s="156">
        <f t="shared" si="109"/>
        <v>16800</v>
      </c>
      <c r="H478" s="156">
        <f t="shared" si="109"/>
        <v>7419.6350000000002</v>
      </c>
      <c r="I478" s="156">
        <f t="shared" si="109"/>
        <v>11800</v>
      </c>
      <c r="J478" s="156">
        <f t="shared" si="103"/>
        <v>70.238095238095227</v>
      </c>
    </row>
    <row r="479" spans="1:10">
      <c r="A479" s="131" t="s">
        <v>78</v>
      </c>
      <c r="B479" s="22" t="s">
        <v>123</v>
      </c>
      <c r="C479" s="22" t="s">
        <v>376</v>
      </c>
      <c r="D479" s="22" t="s">
        <v>423</v>
      </c>
      <c r="E479" s="22" t="s">
        <v>601</v>
      </c>
      <c r="F479" s="22" t="s">
        <v>79</v>
      </c>
      <c r="G479" s="156">
        <f>15000-3000+4800</f>
        <v>16800</v>
      </c>
      <c r="H479" s="156">
        <v>7419.6350000000002</v>
      </c>
      <c r="I479" s="156">
        <f>15000-3000+4800-5000</f>
        <v>11800</v>
      </c>
      <c r="J479" s="156">
        <f t="shared" si="103"/>
        <v>70.238095238095227</v>
      </c>
    </row>
    <row r="480" spans="1:10">
      <c r="A480" s="133" t="s">
        <v>492</v>
      </c>
      <c r="B480" s="132" t="s">
        <v>123</v>
      </c>
      <c r="C480" s="132" t="s">
        <v>376</v>
      </c>
      <c r="D480" s="132" t="s">
        <v>423</v>
      </c>
      <c r="E480" s="132" t="s">
        <v>602</v>
      </c>
      <c r="F480" s="132"/>
      <c r="G480" s="158">
        <f t="shared" ref="G480:I481" si="110">G481</f>
        <v>1000</v>
      </c>
      <c r="H480" s="324">
        <f t="shared" si="110"/>
        <v>0</v>
      </c>
      <c r="I480" s="324">
        <f t="shared" si="110"/>
        <v>0</v>
      </c>
      <c r="J480" s="324">
        <f t="shared" si="103"/>
        <v>0</v>
      </c>
    </row>
    <row r="481" spans="1:10">
      <c r="A481" s="131" t="s">
        <v>486</v>
      </c>
      <c r="B481" s="22" t="s">
        <v>123</v>
      </c>
      <c r="C481" s="22" t="s">
        <v>376</v>
      </c>
      <c r="D481" s="22" t="s">
        <v>423</v>
      </c>
      <c r="E481" s="22" t="s">
        <v>602</v>
      </c>
      <c r="F481" s="22" t="s">
        <v>77</v>
      </c>
      <c r="G481" s="156">
        <f t="shared" si="110"/>
        <v>1000</v>
      </c>
      <c r="H481" s="323">
        <f t="shared" si="110"/>
        <v>0</v>
      </c>
      <c r="I481" s="323">
        <f t="shared" si="110"/>
        <v>0</v>
      </c>
      <c r="J481" s="323">
        <f t="shared" si="103"/>
        <v>0</v>
      </c>
    </row>
    <row r="482" spans="1:10">
      <c r="A482" s="131" t="s">
        <v>78</v>
      </c>
      <c r="B482" s="22" t="s">
        <v>123</v>
      </c>
      <c r="C482" s="22" t="s">
        <v>376</v>
      </c>
      <c r="D482" s="22" t="s">
        <v>423</v>
      </c>
      <c r="E482" s="22" t="s">
        <v>602</v>
      </c>
      <c r="F482" s="22" t="s">
        <v>79</v>
      </c>
      <c r="G482" s="156">
        <f>3000-2000</f>
        <v>1000</v>
      </c>
      <c r="H482" s="323">
        <v>0</v>
      </c>
      <c r="I482" s="323">
        <f>3000-2000-1000</f>
        <v>0</v>
      </c>
      <c r="J482" s="323">
        <f t="shared" si="103"/>
        <v>0</v>
      </c>
    </row>
    <row r="483" spans="1:10">
      <c r="A483" s="133" t="s">
        <v>493</v>
      </c>
      <c r="B483" s="132" t="s">
        <v>123</v>
      </c>
      <c r="C483" s="132" t="s">
        <v>376</v>
      </c>
      <c r="D483" s="132" t="s">
        <v>423</v>
      </c>
      <c r="E483" s="132" t="s">
        <v>603</v>
      </c>
      <c r="F483" s="132"/>
      <c r="G483" s="158">
        <f t="shared" ref="G483:I484" si="111">G484</f>
        <v>1000</v>
      </c>
      <c r="H483" s="158">
        <f t="shared" si="111"/>
        <v>1000</v>
      </c>
      <c r="I483" s="158">
        <f t="shared" si="111"/>
        <v>1000</v>
      </c>
      <c r="J483" s="158">
        <f t="shared" si="103"/>
        <v>100</v>
      </c>
    </row>
    <row r="484" spans="1:10">
      <c r="A484" s="131" t="s">
        <v>486</v>
      </c>
      <c r="B484" s="22" t="s">
        <v>123</v>
      </c>
      <c r="C484" s="22" t="s">
        <v>376</v>
      </c>
      <c r="D484" s="22" t="s">
        <v>423</v>
      </c>
      <c r="E484" s="22" t="s">
        <v>603</v>
      </c>
      <c r="F484" s="22" t="s">
        <v>77</v>
      </c>
      <c r="G484" s="156">
        <f t="shared" si="111"/>
        <v>1000</v>
      </c>
      <c r="H484" s="156">
        <f t="shared" si="111"/>
        <v>1000</v>
      </c>
      <c r="I484" s="156">
        <f t="shared" si="111"/>
        <v>1000</v>
      </c>
      <c r="J484" s="156">
        <f t="shared" si="103"/>
        <v>100</v>
      </c>
    </row>
    <row r="485" spans="1:10">
      <c r="A485" s="131" t="s">
        <v>78</v>
      </c>
      <c r="B485" s="22" t="s">
        <v>123</v>
      </c>
      <c r="C485" s="22" t="s">
        <v>376</v>
      </c>
      <c r="D485" s="22" t="s">
        <v>423</v>
      </c>
      <c r="E485" s="22" t="s">
        <v>603</v>
      </c>
      <c r="F485" s="22" t="s">
        <v>79</v>
      </c>
      <c r="G485" s="156">
        <v>1000</v>
      </c>
      <c r="H485" s="156">
        <v>1000</v>
      </c>
      <c r="I485" s="156">
        <v>1000</v>
      </c>
      <c r="J485" s="156">
        <f t="shared" si="103"/>
        <v>100</v>
      </c>
    </row>
    <row r="486" spans="1:10">
      <c r="A486" s="133" t="s">
        <v>312</v>
      </c>
      <c r="B486" s="132" t="s">
        <v>123</v>
      </c>
      <c r="C486" s="132" t="s">
        <v>376</v>
      </c>
      <c r="D486" s="132" t="s">
        <v>423</v>
      </c>
      <c r="E486" s="132" t="s">
        <v>604</v>
      </c>
      <c r="F486" s="132"/>
      <c r="G486" s="158">
        <f t="shared" ref="G486:I487" si="112">G487</f>
        <v>2000</v>
      </c>
      <c r="H486" s="158">
        <f t="shared" si="112"/>
        <v>907.47400000000005</v>
      </c>
      <c r="I486" s="158">
        <f t="shared" si="112"/>
        <v>2000</v>
      </c>
      <c r="J486" s="158">
        <f t="shared" si="103"/>
        <v>100</v>
      </c>
    </row>
    <row r="487" spans="1:10">
      <c r="A487" s="131" t="s">
        <v>486</v>
      </c>
      <c r="B487" s="22" t="s">
        <v>123</v>
      </c>
      <c r="C487" s="22" t="s">
        <v>376</v>
      </c>
      <c r="D487" s="22" t="s">
        <v>423</v>
      </c>
      <c r="E487" s="22" t="s">
        <v>604</v>
      </c>
      <c r="F487" s="22" t="s">
        <v>77</v>
      </c>
      <c r="G487" s="156">
        <f t="shared" si="112"/>
        <v>2000</v>
      </c>
      <c r="H487" s="156">
        <f t="shared" si="112"/>
        <v>907.47400000000005</v>
      </c>
      <c r="I487" s="156">
        <f t="shared" si="112"/>
        <v>2000</v>
      </c>
      <c r="J487" s="156">
        <f t="shared" si="103"/>
        <v>100</v>
      </c>
    </row>
    <row r="488" spans="1:10">
      <c r="A488" s="131" t="s">
        <v>78</v>
      </c>
      <c r="B488" s="22" t="s">
        <v>123</v>
      </c>
      <c r="C488" s="22" t="s">
        <v>376</v>
      </c>
      <c r="D488" s="22" t="s">
        <v>423</v>
      </c>
      <c r="E488" s="22" t="s">
        <v>604</v>
      </c>
      <c r="F488" s="22" t="s">
        <v>79</v>
      </c>
      <c r="G488" s="156">
        <v>2000</v>
      </c>
      <c r="H488" s="156">
        <v>907.47400000000005</v>
      </c>
      <c r="I488" s="156">
        <v>2000</v>
      </c>
      <c r="J488" s="156">
        <f t="shared" si="103"/>
        <v>100</v>
      </c>
    </row>
    <row r="489" spans="1:10" ht="24">
      <c r="A489" s="229" t="s">
        <v>303</v>
      </c>
      <c r="B489" s="132" t="s">
        <v>123</v>
      </c>
      <c r="C489" s="132" t="s">
        <v>376</v>
      </c>
      <c r="D489" s="132" t="s">
        <v>423</v>
      </c>
      <c r="E489" s="132" t="s">
        <v>605</v>
      </c>
      <c r="F489" s="132"/>
      <c r="G489" s="158">
        <f t="shared" ref="G489:I490" si="113">G490</f>
        <v>11647.64</v>
      </c>
      <c r="H489" s="158">
        <f t="shared" si="113"/>
        <v>9372.491</v>
      </c>
      <c r="I489" s="158">
        <f t="shared" si="113"/>
        <v>11647.64</v>
      </c>
      <c r="J489" s="158">
        <f t="shared" si="103"/>
        <v>100</v>
      </c>
    </row>
    <row r="490" spans="1:10">
      <c r="A490" s="131" t="s">
        <v>486</v>
      </c>
      <c r="B490" s="22" t="s">
        <v>123</v>
      </c>
      <c r="C490" s="22" t="s">
        <v>376</v>
      </c>
      <c r="D490" s="22" t="s">
        <v>423</v>
      </c>
      <c r="E490" s="22" t="s">
        <v>605</v>
      </c>
      <c r="F490" s="22" t="s">
        <v>77</v>
      </c>
      <c r="G490" s="156">
        <f t="shared" si="113"/>
        <v>11647.64</v>
      </c>
      <c r="H490" s="156">
        <f t="shared" si="113"/>
        <v>9372.491</v>
      </c>
      <c r="I490" s="156">
        <f t="shared" si="113"/>
        <v>11647.64</v>
      </c>
      <c r="J490" s="156">
        <f t="shared" si="103"/>
        <v>100</v>
      </c>
    </row>
    <row r="491" spans="1:10">
      <c r="A491" s="131" t="s">
        <v>78</v>
      </c>
      <c r="B491" s="22" t="s">
        <v>123</v>
      </c>
      <c r="C491" s="22" t="s">
        <v>376</v>
      </c>
      <c r="D491" s="22" t="s">
        <v>423</v>
      </c>
      <c r="E491" s="22" t="s">
        <v>605</v>
      </c>
      <c r="F491" s="22" t="s">
        <v>79</v>
      </c>
      <c r="G491" s="156">
        <f>2000+2647.64+7000</f>
        <v>11647.64</v>
      </c>
      <c r="H491" s="156">
        <v>9372.491</v>
      </c>
      <c r="I491" s="156">
        <f>2000+2647.64+7000</f>
        <v>11647.64</v>
      </c>
      <c r="J491" s="156">
        <f t="shared" si="103"/>
        <v>100</v>
      </c>
    </row>
    <row r="492" spans="1:10">
      <c r="A492" s="229" t="s">
        <v>304</v>
      </c>
      <c r="B492" s="132" t="s">
        <v>123</v>
      </c>
      <c r="C492" s="132" t="s">
        <v>376</v>
      </c>
      <c r="D492" s="132" t="s">
        <v>423</v>
      </c>
      <c r="E492" s="230" t="s">
        <v>606</v>
      </c>
      <c r="F492" s="230"/>
      <c r="G492" s="158">
        <f t="shared" ref="G492:I493" si="114">G493</f>
        <v>1500</v>
      </c>
      <c r="H492" s="158">
        <f t="shared" si="114"/>
        <v>250</v>
      </c>
      <c r="I492" s="158">
        <f t="shared" si="114"/>
        <v>1500</v>
      </c>
      <c r="J492" s="158">
        <f t="shared" si="103"/>
        <v>100</v>
      </c>
    </row>
    <row r="493" spans="1:10">
      <c r="A493" s="131" t="s">
        <v>486</v>
      </c>
      <c r="B493" s="22" t="s">
        <v>123</v>
      </c>
      <c r="C493" s="22" t="s">
        <v>376</v>
      </c>
      <c r="D493" s="22" t="s">
        <v>423</v>
      </c>
      <c r="E493" s="145" t="s">
        <v>606</v>
      </c>
      <c r="F493" s="22" t="s">
        <v>77</v>
      </c>
      <c r="G493" s="156">
        <f t="shared" si="114"/>
        <v>1500</v>
      </c>
      <c r="H493" s="156">
        <f t="shared" si="114"/>
        <v>250</v>
      </c>
      <c r="I493" s="156">
        <f t="shared" si="114"/>
        <v>1500</v>
      </c>
      <c r="J493" s="156">
        <f t="shared" si="103"/>
        <v>100</v>
      </c>
    </row>
    <row r="494" spans="1:10">
      <c r="A494" s="131" t="s">
        <v>78</v>
      </c>
      <c r="B494" s="22" t="s">
        <v>123</v>
      </c>
      <c r="C494" s="22" t="s">
        <v>376</v>
      </c>
      <c r="D494" s="22" t="s">
        <v>423</v>
      </c>
      <c r="E494" s="145" t="s">
        <v>606</v>
      </c>
      <c r="F494" s="22" t="s">
        <v>79</v>
      </c>
      <c r="G494" s="156">
        <f>2000-500</f>
        <v>1500</v>
      </c>
      <c r="H494" s="156">
        <v>250</v>
      </c>
      <c r="I494" s="156">
        <f>2000-500</f>
        <v>1500</v>
      </c>
      <c r="J494" s="156">
        <f t="shared" si="103"/>
        <v>100</v>
      </c>
    </row>
    <row r="495" spans="1:10">
      <c r="A495" s="133" t="s">
        <v>214</v>
      </c>
      <c r="B495" s="132" t="s">
        <v>123</v>
      </c>
      <c r="C495" s="132" t="s">
        <v>376</v>
      </c>
      <c r="D495" s="132" t="s">
        <v>423</v>
      </c>
      <c r="E495" s="132" t="s">
        <v>607</v>
      </c>
      <c r="F495" s="132"/>
      <c r="G495" s="158">
        <f t="shared" ref="G495:I496" si="115">G496</f>
        <v>89000</v>
      </c>
      <c r="H495" s="158">
        <f t="shared" si="115"/>
        <v>71946.197</v>
      </c>
      <c r="I495" s="158">
        <f t="shared" si="115"/>
        <v>89000</v>
      </c>
      <c r="J495" s="158">
        <f t="shared" si="103"/>
        <v>100</v>
      </c>
    </row>
    <row r="496" spans="1:10">
      <c r="A496" s="131" t="s">
        <v>486</v>
      </c>
      <c r="B496" s="22" t="s">
        <v>123</v>
      </c>
      <c r="C496" s="22" t="s">
        <v>376</v>
      </c>
      <c r="D496" s="22" t="s">
        <v>423</v>
      </c>
      <c r="E496" s="22" t="s">
        <v>607</v>
      </c>
      <c r="F496" s="22" t="s">
        <v>77</v>
      </c>
      <c r="G496" s="156">
        <f t="shared" si="115"/>
        <v>89000</v>
      </c>
      <c r="H496" s="156">
        <f t="shared" si="115"/>
        <v>71946.197</v>
      </c>
      <c r="I496" s="156">
        <f t="shared" si="115"/>
        <v>89000</v>
      </c>
      <c r="J496" s="156">
        <f t="shared" si="103"/>
        <v>100</v>
      </c>
    </row>
    <row r="497" spans="1:10">
      <c r="A497" s="131" t="s">
        <v>78</v>
      </c>
      <c r="B497" s="22" t="s">
        <v>123</v>
      </c>
      <c r="C497" s="22" t="s">
        <v>376</v>
      </c>
      <c r="D497" s="22" t="s">
        <v>423</v>
      </c>
      <c r="E497" s="22" t="s">
        <v>607</v>
      </c>
      <c r="F497" s="22" t="s">
        <v>79</v>
      </c>
      <c r="G497" s="156">
        <f>85000+4000</f>
        <v>89000</v>
      </c>
      <c r="H497" s="156">
        <v>71946.197</v>
      </c>
      <c r="I497" s="156">
        <f>85000+4000</f>
        <v>89000</v>
      </c>
      <c r="J497" s="156">
        <f t="shared" si="103"/>
        <v>100</v>
      </c>
    </row>
    <row r="498" spans="1:10">
      <c r="A498" s="133" t="s">
        <v>305</v>
      </c>
      <c r="B498" s="132" t="s">
        <v>123</v>
      </c>
      <c r="C498" s="132" t="s">
        <v>376</v>
      </c>
      <c r="D498" s="132" t="s">
        <v>423</v>
      </c>
      <c r="E498" s="132" t="s">
        <v>608</v>
      </c>
      <c r="F498" s="132"/>
      <c r="G498" s="158">
        <f t="shared" ref="G498:I499" si="116">G499</f>
        <v>1852.3600000000001</v>
      </c>
      <c r="H498" s="158">
        <f t="shared" si="116"/>
        <v>1852.36</v>
      </c>
      <c r="I498" s="158">
        <f t="shared" si="116"/>
        <v>1852.3600000000001</v>
      </c>
      <c r="J498" s="158">
        <f t="shared" si="103"/>
        <v>100</v>
      </c>
    </row>
    <row r="499" spans="1:10">
      <c r="A499" s="131" t="s">
        <v>486</v>
      </c>
      <c r="B499" s="22" t="s">
        <v>123</v>
      </c>
      <c r="C499" s="22" t="s">
        <v>376</v>
      </c>
      <c r="D499" s="22" t="s">
        <v>423</v>
      </c>
      <c r="E499" s="22" t="s">
        <v>608</v>
      </c>
      <c r="F499" s="22" t="s">
        <v>77</v>
      </c>
      <c r="G499" s="156">
        <f t="shared" si="116"/>
        <v>1852.3600000000001</v>
      </c>
      <c r="H499" s="156">
        <f t="shared" si="116"/>
        <v>1852.36</v>
      </c>
      <c r="I499" s="156">
        <f t="shared" si="116"/>
        <v>1852.3600000000001</v>
      </c>
      <c r="J499" s="156">
        <f t="shared" si="103"/>
        <v>100</v>
      </c>
    </row>
    <row r="500" spans="1:10">
      <c r="A500" s="131" t="s">
        <v>78</v>
      </c>
      <c r="B500" s="22" t="s">
        <v>123</v>
      </c>
      <c r="C500" s="22" t="s">
        <v>376</v>
      </c>
      <c r="D500" s="22" t="s">
        <v>423</v>
      </c>
      <c r="E500" s="22" t="s">
        <v>608</v>
      </c>
      <c r="F500" s="22" t="s">
        <v>79</v>
      </c>
      <c r="G500" s="156">
        <f>2000+500-647.64</f>
        <v>1852.3600000000001</v>
      </c>
      <c r="H500" s="156">
        <v>1852.36</v>
      </c>
      <c r="I500" s="156">
        <f>2000+500-647.64</f>
        <v>1852.3600000000001</v>
      </c>
      <c r="J500" s="156">
        <f t="shared" si="103"/>
        <v>100</v>
      </c>
    </row>
    <row r="501" spans="1:10" ht="24">
      <c r="A501" s="133" t="s">
        <v>231</v>
      </c>
      <c r="B501" s="132" t="s">
        <v>123</v>
      </c>
      <c r="C501" s="132" t="s">
        <v>376</v>
      </c>
      <c r="D501" s="132" t="s">
        <v>423</v>
      </c>
      <c r="E501" s="132" t="s">
        <v>609</v>
      </c>
      <c r="F501" s="132"/>
      <c r="G501" s="158">
        <f t="shared" ref="G501:I502" si="117">G502</f>
        <v>256068.2</v>
      </c>
      <c r="H501" s="158">
        <f t="shared" si="117"/>
        <v>195130.90654</v>
      </c>
      <c r="I501" s="158">
        <f t="shared" si="117"/>
        <v>256068.2</v>
      </c>
      <c r="J501" s="158">
        <f t="shared" si="103"/>
        <v>100</v>
      </c>
    </row>
    <row r="502" spans="1:10">
      <c r="A502" s="131" t="s">
        <v>94</v>
      </c>
      <c r="B502" s="22" t="s">
        <v>123</v>
      </c>
      <c r="C502" s="22" t="s">
        <v>376</v>
      </c>
      <c r="D502" s="22" t="s">
        <v>423</v>
      </c>
      <c r="E502" s="22" t="s">
        <v>609</v>
      </c>
      <c r="F502" s="22" t="s">
        <v>362</v>
      </c>
      <c r="G502" s="156">
        <f t="shared" si="117"/>
        <v>256068.2</v>
      </c>
      <c r="H502" s="156">
        <f t="shared" si="117"/>
        <v>195130.90654</v>
      </c>
      <c r="I502" s="156">
        <f t="shared" si="117"/>
        <v>256068.2</v>
      </c>
      <c r="J502" s="156">
        <f t="shared" si="103"/>
        <v>100</v>
      </c>
    </row>
    <row r="503" spans="1:10">
      <c r="A503" s="131" t="s">
        <v>95</v>
      </c>
      <c r="B503" s="22" t="s">
        <v>123</v>
      </c>
      <c r="C503" s="22" t="s">
        <v>376</v>
      </c>
      <c r="D503" s="22" t="s">
        <v>423</v>
      </c>
      <c r="E503" s="22" t="s">
        <v>609</v>
      </c>
      <c r="F503" s="22" t="s">
        <v>371</v>
      </c>
      <c r="G503" s="156">
        <f>205280+649+10000+3500+36639.2</f>
        <v>256068.2</v>
      </c>
      <c r="H503" s="156">
        <v>195130.90654</v>
      </c>
      <c r="I503" s="156">
        <f>205280+649+10000+3500+36639.2</f>
        <v>256068.2</v>
      </c>
      <c r="J503" s="156">
        <f t="shared" si="103"/>
        <v>100</v>
      </c>
    </row>
    <row r="504" spans="1:10">
      <c r="A504" s="133" t="s">
        <v>221</v>
      </c>
      <c r="B504" s="132" t="s">
        <v>123</v>
      </c>
      <c r="C504" s="132" t="s">
        <v>376</v>
      </c>
      <c r="D504" s="132" t="s">
        <v>423</v>
      </c>
      <c r="E504" s="132" t="s">
        <v>490</v>
      </c>
      <c r="F504" s="132"/>
      <c r="G504" s="158">
        <f t="shared" ref="G504:I505" si="118">G505</f>
        <v>12000</v>
      </c>
      <c r="H504" s="158">
        <f t="shared" si="118"/>
        <v>10951.24596</v>
      </c>
      <c r="I504" s="158">
        <f t="shared" si="118"/>
        <v>12000</v>
      </c>
      <c r="J504" s="158">
        <f t="shared" si="103"/>
        <v>100</v>
      </c>
    </row>
    <row r="505" spans="1:10">
      <c r="A505" s="131" t="s">
        <v>486</v>
      </c>
      <c r="B505" s="22" t="s">
        <v>123</v>
      </c>
      <c r="C505" s="22" t="s">
        <v>376</v>
      </c>
      <c r="D505" s="22" t="s">
        <v>423</v>
      </c>
      <c r="E505" s="22" t="s">
        <v>490</v>
      </c>
      <c r="F505" s="22" t="s">
        <v>77</v>
      </c>
      <c r="G505" s="156">
        <f t="shared" si="118"/>
        <v>12000</v>
      </c>
      <c r="H505" s="156">
        <f t="shared" si="118"/>
        <v>10951.24596</v>
      </c>
      <c r="I505" s="156">
        <f t="shared" si="118"/>
        <v>12000</v>
      </c>
      <c r="J505" s="156">
        <f t="shared" si="103"/>
        <v>100</v>
      </c>
    </row>
    <row r="506" spans="1:10">
      <c r="A506" s="131" t="s">
        <v>78</v>
      </c>
      <c r="B506" s="22" t="s">
        <v>123</v>
      </c>
      <c r="C506" s="22" t="s">
        <v>376</v>
      </c>
      <c r="D506" s="22" t="s">
        <v>423</v>
      </c>
      <c r="E506" s="22" t="s">
        <v>490</v>
      </c>
      <c r="F506" s="22" t="s">
        <v>79</v>
      </c>
      <c r="G506" s="156">
        <v>12000</v>
      </c>
      <c r="H506" s="156">
        <v>10951.24596</v>
      </c>
      <c r="I506" s="156">
        <v>12000</v>
      </c>
      <c r="J506" s="156">
        <f t="shared" si="103"/>
        <v>100</v>
      </c>
    </row>
    <row r="507" spans="1:10" ht="27">
      <c r="A507" s="174" t="s">
        <v>494</v>
      </c>
      <c r="B507" s="144" t="s">
        <v>123</v>
      </c>
      <c r="C507" s="144" t="s">
        <v>376</v>
      </c>
      <c r="D507" s="144" t="s">
        <v>423</v>
      </c>
      <c r="E507" s="228" t="s">
        <v>435</v>
      </c>
      <c r="F507" s="144"/>
      <c r="G507" s="218">
        <f>G508+G511</f>
        <v>91852.525259999995</v>
      </c>
      <c r="H507" s="218">
        <f>H508+H511</f>
        <v>77981.58600000001</v>
      </c>
      <c r="I507" s="218">
        <f>I508+I511</f>
        <v>91852.525259999995</v>
      </c>
      <c r="J507" s="218">
        <f t="shared" si="103"/>
        <v>100</v>
      </c>
    </row>
    <row r="508" spans="1:10">
      <c r="A508" s="133" t="s">
        <v>514</v>
      </c>
      <c r="B508" s="132" t="s">
        <v>123</v>
      </c>
      <c r="C508" s="132" t="s">
        <v>376</v>
      </c>
      <c r="D508" s="132" t="s">
        <v>423</v>
      </c>
      <c r="E508" s="210" t="s">
        <v>515</v>
      </c>
      <c r="F508" s="132"/>
      <c r="G508" s="156">
        <f t="shared" ref="G508:I509" si="119">G509</f>
        <v>83852.525259999995</v>
      </c>
      <c r="H508" s="156">
        <f t="shared" si="119"/>
        <v>71189.690830000007</v>
      </c>
      <c r="I508" s="156">
        <f t="shared" si="119"/>
        <v>83852.525259999995</v>
      </c>
      <c r="J508" s="156">
        <f t="shared" ref="J508:J569" si="120">I508/G508*100</f>
        <v>100</v>
      </c>
    </row>
    <row r="509" spans="1:10">
      <c r="A509" s="131" t="s">
        <v>486</v>
      </c>
      <c r="B509" s="22" t="s">
        <v>123</v>
      </c>
      <c r="C509" s="22" t="s">
        <v>376</v>
      </c>
      <c r="D509" s="22" t="s">
        <v>423</v>
      </c>
      <c r="E509" s="211" t="s">
        <v>515</v>
      </c>
      <c r="F509" s="22" t="s">
        <v>77</v>
      </c>
      <c r="G509" s="156">
        <f t="shared" si="119"/>
        <v>83852.525259999995</v>
      </c>
      <c r="H509" s="156">
        <f t="shared" si="119"/>
        <v>71189.690830000007</v>
      </c>
      <c r="I509" s="156">
        <f t="shared" si="119"/>
        <v>83852.525259999995</v>
      </c>
      <c r="J509" s="156">
        <f t="shared" si="120"/>
        <v>100</v>
      </c>
    </row>
    <row r="510" spans="1:10">
      <c r="A510" s="131" t="s">
        <v>78</v>
      </c>
      <c r="B510" s="22" t="s">
        <v>123</v>
      </c>
      <c r="C510" s="22" t="s">
        <v>376</v>
      </c>
      <c r="D510" s="22" t="s">
        <v>423</v>
      </c>
      <c r="E510" s="211" t="s">
        <v>515</v>
      </c>
      <c r="F510" s="22" t="s">
        <v>79</v>
      </c>
      <c r="G510" s="156">
        <f>83852.52526</f>
        <v>83852.525259999995</v>
      </c>
      <c r="H510" s="156">
        <v>71189.690830000007</v>
      </c>
      <c r="I510" s="156">
        <f>83852.52526</f>
        <v>83852.525259999995</v>
      </c>
      <c r="J510" s="156">
        <f t="shared" si="120"/>
        <v>100</v>
      </c>
    </row>
    <row r="511" spans="1:10">
      <c r="A511" s="133" t="s">
        <v>43</v>
      </c>
      <c r="B511" s="132" t="s">
        <v>123</v>
      </c>
      <c r="C511" s="132" t="s">
        <v>376</v>
      </c>
      <c r="D511" s="132" t="s">
        <v>423</v>
      </c>
      <c r="E511" s="210" t="s">
        <v>489</v>
      </c>
      <c r="F511" s="132"/>
      <c r="G511" s="158">
        <f t="shared" ref="G511:I512" si="121">G512</f>
        <v>8000</v>
      </c>
      <c r="H511" s="158">
        <f t="shared" si="121"/>
        <v>6791.8951699999998</v>
      </c>
      <c r="I511" s="158">
        <f t="shared" si="121"/>
        <v>8000</v>
      </c>
      <c r="J511" s="158">
        <f t="shared" si="120"/>
        <v>100</v>
      </c>
    </row>
    <row r="512" spans="1:10">
      <c r="A512" s="131" t="s">
        <v>486</v>
      </c>
      <c r="B512" s="22" t="s">
        <v>123</v>
      </c>
      <c r="C512" s="22" t="s">
        <v>376</v>
      </c>
      <c r="D512" s="22" t="s">
        <v>423</v>
      </c>
      <c r="E512" s="211" t="s">
        <v>489</v>
      </c>
      <c r="F512" s="22" t="s">
        <v>77</v>
      </c>
      <c r="G512" s="156">
        <f t="shared" si="121"/>
        <v>8000</v>
      </c>
      <c r="H512" s="156">
        <f t="shared" si="121"/>
        <v>6791.8951699999998</v>
      </c>
      <c r="I512" s="156">
        <f t="shared" si="121"/>
        <v>8000</v>
      </c>
      <c r="J512" s="156">
        <f t="shared" si="120"/>
        <v>100</v>
      </c>
    </row>
    <row r="513" spans="1:10">
      <c r="A513" s="131" t="s">
        <v>78</v>
      </c>
      <c r="B513" s="22" t="s">
        <v>123</v>
      </c>
      <c r="C513" s="22" t="s">
        <v>376</v>
      </c>
      <c r="D513" s="22" t="s">
        <v>423</v>
      </c>
      <c r="E513" s="211" t="s">
        <v>489</v>
      </c>
      <c r="F513" s="22" t="s">
        <v>79</v>
      </c>
      <c r="G513" s="156">
        <v>8000</v>
      </c>
      <c r="H513" s="156">
        <v>6791.8951699999998</v>
      </c>
      <c r="I513" s="156">
        <v>8000</v>
      </c>
      <c r="J513" s="156">
        <f t="shared" si="120"/>
        <v>100</v>
      </c>
    </row>
    <row r="514" spans="1:10">
      <c r="A514" s="173" t="s">
        <v>67</v>
      </c>
      <c r="B514" s="140" t="s">
        <v>123</v>
      </c>
      <c r="C514" s="140" t="s">
        <v>376</v>
      </c>
      <c r="D514" s="140" t="s">
        <v>423</v>
      </c>
      <c r="E514" s="140" t="s">
        <v>187</v>
      </c>
      <c r="F514" s="140"/>
      <c r="G514" s="175">
        <f t="shared" ref="G514:I517" si="122">G515</f>
        <v>2942.143</v>
      </c>
      <c r="H514" s="175">
        <f t="shared" si="122"/>
        <v>2942.143</v>
      </c>
      <c r="I514" s="175">
        <f t="shared" si="122"/>
        <v>2942.143</v>
      </c>
      <c r="J514" s="175">
        <f t="shared" si="120"/>
        <v>100</v>
      </c>
    </row>
    <row r="515" spans="1:10">
      <c r="A515" s="212" t="s">
        <v>272</v>
      </c>
      <c r="B515" s="132" t="s">
        <v>123</v>
      </c>
      <c r="C515" s="132" t="s">
        <v>376</v>
      </c>
      <c r="D515" s="132" t="s">
        <v>423</v>
      </c>
      <c r="E515" s="132" t="s">
        <v>188</v>
      </c>
      <c r="F515" s="132"/>
      <c r="G515" s="158">
        <f t="shared" si="122"/>
        <v>2942.143</v>
      </c>
      <c r="H515" s="158">
        <f t="shared" si="122"/>
        <v>2942.143</v>
      </c>
      <c r="I515" s="158">
        <f t="shared" si="122"/>
        <v>2942.143</v>
      </c>
      <c r="J515" s="158">
        <f t="shared" si="120"/>
        <v>100</v>
      </c>
    </row>
    <row r="516" spans="1:10">
      <c r="A516" s="131" t="s">
        <v>84</v>
      </c>
      <c r="B516" s="22" t="s">
        <v>123</v>
      </c>
      <c r="C516" s="22" t="s">
        <v>376</v>
      </c>
      <c r="D516" s="22" t="s">
        <v>423</v>
      </c>
      <c r="E516" s="22" t="s">
        <v>288</v>
      </c>
      <c r="F516" s="22"/>
      <c r="G516" s="156">
        <f t="shared" si="122"/>
        <v>2942.143</v>
      </c>
      <c r="H516" s="156">
        <f t="shared" si="122"/>
        <v>2942.143</v>
      </c>
      <c r="I516" s="156">
        <f t="shared" si="122"/>
        <v>2942.143</v>
      </c>
      <c r="J516" s="156">
        <f t="shared" si="120"/>
        <v>100</v>
      </c>
    </row>
    <row r="517" spans="1:10">
      <c r="A517" s="131" t="s">
        <v>94</v>
      </c>
      <c r="B517" s="22" t="s">
        <v>123</v>
      </c>
      <c r="C517" s="22" t="s">
        <v>376</v>
      </c>
      <c r="D517" s="22" t="s">
        <v>423</v>
      </c>
      <c r="E517" s="22" t="s">
        <v>288</v>
      </c>
      <c r="F517" s="22" t="s">
        <v>362</v>
      </c>
      <c r="G517" s="156">
        <f t="shared" si="122"/>
        <v>2942.143</v>
      </c>
      <c r="H517" s="156">
        <f t="shared" si="122"/>
        <v>2942.143</v>
      </c>
      <c r="I517" s="156">
        <f t="shared" si="122"/>
        <v>2942.143</v>
      </c>
      <c r="J517" s="156">
        <f t="shared" si="120"/>
        <v>100</v>
      </c>
    </row>
    <row r="518" spans="1:10">
      <c r="A518" s="131" t="s">
        <v>95</v>
      </c>
      <c r="B518" s="22" t="s">
        <v>123</v>
      </c>
      <c r="C518" s="22" t="s">
        <v>376</v>
      </c>
      <c r="D518" s="22" t="s">
        <v>423</v>
      </c>
      <c r="E518" s="22" t="s">
        <v>288</v>
      </c>
      <c r="F518" s="22" t="s">
        <v>371</v>
      </c>
      <c r="G518" s="156">
        <v>2942.143</v>
      </c>
      <c r="H518" s="156">
        <v>2942.143</v>
      </c>
      <c r="I518" s="156">
        <v>2942.143</v>
      </c>
      <c r="J518" s="156">
        <f t="shared" si="120"/>
        <v>100</v>
      </c>
    </row>
    <row r="519" spans="1:10">
      <c r="A519" s="133" t="s">
        <v>337</v>
      </c>
      <c r="B519" s="132" t="s">
        <v>123</v>
      </c>
      <c r="C519" s="132" t="s">
        <v>376</v>
      </c>
      <c r="D519" s="132" t="s">
        <v>376</v>
      </c>
      <c r="E519" s="132"/>
      <c r="F519" s="132"/>
      <c r="G519" s="158">
        <f>G520+G531</f>
        <v>7567.4339999999993</v>
      </c>
      <c r="H519" s="158">
        <f>H520+H531</f>
        <v>6003.2748199999996</v>
      </c>
      <c r="I519" s="158">
        <f>I520+I531</f>
        <v>7567.4339999999993</v>
      </c>
      <c r="J519" s="158">
        <f t="shared" si="120"/>
        <v>100</v>
      </c>
    </row>
    <row r="520" spans="1:10" ht="27">
      <c r="A520" s="174" t="s">
        <v>671</v>
      </c>
      <c r="B520" s="144" t="s">
        <v>123</v>
      </c>
      <c r="C520" s="144" t="s">
        <v>376</v>
      </c>
      <c r="D520" s="144" t="s">
        <v>376</v>
      </c>
      <c r="E520" s="144" t="s">
        <v>225</v>
      </c>
      <c r="F520" s="144"/>
      <c r="G520" s="218">
        <f t="shared" ref="G520:I521" si="123">G521</f>
        <v>7345.4</v>
      </c>
      <c r="H520" s="218">
        <f t="shared" si="123"/>
        <v>5832.74179</v>
      </c>
      <c r="I520" s="218">
        <f t="shared" si="123"/>
        <v>7345.4</v>
      </c>
      <c r="J520" s="218">
        <f t="shared" si="120"/>
        <v>100</v>
      </c>
    </row>
    <row r="521" spans="1:10">
      <c r="A521" s="212" t="s">
        <v>307</v>
      </c>
      <c r="B521" s="132" t="s">
        <v>123</v>
      </c>
      <c r="C521" s="132" t="s">
        <v>376</v>
      </c>
      <c r="D521" s="132" t="s">
        <v>376</v>
      </c>
      <c r="E521" s="132" t="s">
        <v>225</v>
      </c>
      <c r="F521" s="132"/>
      <c r="G521" s="158">
        <f t="shared" si="123"/>
        <v>7345.4</v>
      </c>
      <c r="H521" s="158">
        <f t="shared" si="123"/>
        <v>5832.74179</v>
      </c>
      <c r="I521" s="158">
        <f t="shared" si="123"/>
        <v>7345.4</v>
      </c>
      <c r="J521" s="158">
        <f t="shared" si="120"/>
        <v>100</v>
      </c>
    </row>
    <row r="522" spans="1:10" ht="24">
      <c r="A522" s="224" t="s">
        <v>364</v>
      </c>
      <c r="B522" s="140" t="s">
        <v>123</v>
      </c>
      <c r="C522" s="140" t="s">
        <v>376</v>
      </c>
      <c r="D522" s="140" t="s">
        <v>376</v>
      </c>
      <c r="E522" s="140" t="s">
        <v>225</v>
      </c>
      <c r="F522" s="140"/>
      <c r="G522" s="175">
        <f>G523+G526</f>
        <v>7345.4</v>
      </c>
      <c r="H522" s="175">
        <f>H523+H526</f>
        <v>5832.74179</v>
      </c>
      <c r="I522" s="175">
        <f>I523+I526</f>
        <v>7345.4</v>
      </c>
      <c r="J522" s="175">
        <f t="shared" si="120"/>
        <v>100</v>
      </c>
    </row>
    <row r="523" spans="1:10">
      <c r="A523" s="212" t="s">
        <v>347</v>
      </c>
      <c r="B523" s="132" t="s">
        <v>123</v>
      </c>
      <c r="C523" s="132" t="s">
        <v>376</v>
      </c>
      <c r="D523" s="132" t="s">
        <v>376</v>
      </c>
      <c r="E523" s="132" t="s">
        <v>308</v>
      </c>
      <c r="F523" s="132"/>
      <c r="G523" s="158">
        <f t="shared" ref="G523:I524" si="124">G524</f>
        <v>7127.4</v>
      </c>
      <c r="H523" s="158">
        <f t="shared" si="124"/>
        <v>5644.9242000000004</v>
      </c>
      <c r="I523" s="158">
        <f t="shared" si="124"/>
        <v>7127.4</v>
      </c>
      <c r="J523" s="158">
        <f t="shared" si="120"/>
        <v>100</v>
      </c>
    </row>
    <row r="524" spans="1:10" ht="36">
      <c r="A524" s="131" t="s">
        <v>72</v>
      </c>
      <c r="B524" s="22" t="s">
        <v>123</v>
      </c>
      <c r="C524" s="22" t="s">
        <v>376</v>
      </c>
      <c r="D524" s="22" t="s">
        <v>376</v>
      </c>
      <c r="E524" s="22" t="s">
        <v>308</v>
      </c>
      <c r="F524" s="22" t="s">
        <v>73</v>
      </c>
      <c r="G524" s="156">
        <f t="shared" si="124"/>
        <v>7127.4</v>
      </c>
      <c r="H524" s="156">
        <f t="shared" si="124"/>
        <v>5644.9242000000004</v>
      </c>
      <c r="I524" s="156">
        <f t="shared" si="124"/>
        <v>7127.4</v>
      </c>
      <c r="J524" s="156">
        <f t="shared" si="120"/>
        <v>100</v>
      </c>
    </row>
    <row r="525" spans="1:10">
      <c r="A525" s="131" t="s">
        <v>74</v>
      </c>
      <c r="B525" s="22" t="s">
        <v>123</v>
      </c>
      <c r="C525" s="22" t="s">
        <v>376</v>
      </c>
      <c r="D525" s="22" t="s">
        <v>376</v>
      </c>
      <c r="E525" s="22" t="s">
        <v>308</v>
      </c>
      <c r="F525" s="22" t="s">
        <v>75</v>
      </c>
      <c r="G525" s="156">
        <f>5275.5+10+1593.2+248.7</f>
        <v>7127.4</v>
      </c>
      <c r="H525" s="156">
        <v>5644.9242000000004</v>
      </c>
      <c r="I525" s="156">
        <f>5275.5+10+1593.2+248.7</f>
        <v>7127.4</v>
      </c>
      <c r="J525" s="156">
        <f t="shared" si="120"/>
        <v>100</v>
      </c>
    </row>
    <row r="526" spans="1:10">
      <c r="A526" s="133" t="s">
        <v>76</v>
      </c>
      <c r="B526" s="132" t="s">
        <v>123</v>
      </c>
      <c r="C526" s="132" t="s">
        <v>376</v>
      </c>
      <c r="D526" s="132" t="s">
        <v>376</v>
      </c>
      <c r="E526" s="132" t="s">
        <v>309</v>
      </c>
      <c r="F526" s="132"/>
      <c r="G526" s="158">
        <f>G527+G529</f>
        <v>218</v>
      </c>
      <c r="H526" s="158">
        <f>H527+H529</f>
        <v>187.81759</v>
      </c>
      <c r="I526" s="158">
        <f>I527+I529</f>
        <v>218</v>
      </c>
      <c r="J526" s="158">
        <f t="shared" si="120"/>
        <v>100</v>
      </c>
    </row>
    <row r="527" spans="1:10">
      <c r="A527" s="131" t="s">
        <v>486</v>
      </c>
      <c r="B527" s="22" t="s">
        <v>123</v>
      </c>
      <c r="C527" s="22" t="s">
        <v>376</v>
      </c>
      <c r="D527" s="22" t="s">
        <v>376</v>
      </c>
      <c r="E527" s="22" t="s">
        <v>309</v>
      </c>
      <c r="F527" s="22" t="s">
        <v>77</v>
      </c>
      <c r="G527" s="156">
        <f>G528</f>
        <v>211.5</v>
      </c>
      <c r="H527" s="156">
        <f>H528</f>
        <v>181.31759</v>
      </c>
      <c r="I527" s="156">
        <f>I528</f>
        <v>211.5</v>
      </c>
      <c r="J527" s="156">
        <f t="shared" si="120"/>
        <v>100</v>
      </c>
    </row>
    <row r="528" spans="1:10" s="219" customFormat="1">
      <c r="A528" s="131" t="s">
        <v>78</v>
      </c>
      <c r="B528" s="22" t="s">
        <v>123</v>
      </c>
      <c r="C528" s="22" t="s">
        <v>376</v>
      </c>
      <c r="D528" s="22" t="s">
        <v>376</v>
      </c>
      <c r="E528" s="22" t="s">
        <v>309</v>
      </c>
      <c r="F528" s="22" t="s">
        <v>79</v>
      </c>
      <c r="G528" s="156">
        <f>215-3.5</f>
        <v>211.5</v>
      </c>
      <c r="H528" s="156">
        <v>181.31759</v>
      </c>
      <c r="I528" s="156">
        <f>215-3.5</f>
        <v>211.5</v>
      </c>
      <c r="J528" s="156">
        <f t="shared" si="120"/>
        <v>100</v>
      </c>
    </row>
    <row r="529" spans="1:10" s="219" customFormat="1">
      <c r="A529" s="131" t="s">
        <v>80</v>
      </c>
      <c r="B529" s="22" t="s">
        <v>123</v>
      </c>
      <c r="C529" s="22" t="s">
        <v>376</v>
      </c>
      <c r="D529" s="22" t="s">
        <v>376</v>
      </c>
      <c r="E529" s="22" t="s">
        <v>309</v>
      </c>
      <c r="F529" s="22" t="s">
        <v>81</v>
      </c>
      <c r="G529" s="156">
        <f>G530</f>
        <v>6.5</v>
      </c>
      <c r="H529" s="156">
        <f>H530</f>
        <v>6.5</v>
      </c>
      <c r="I529" s="156">
        <f>I530</f>
        <v>6.5</v>
      </c>
      <c r="J529" s="156">
        <f t="shared" si="120"/>
        <v>100</v>
      </c>
    </row>
    <row r="530" spans="1:10" s="219" customFormat="1">
      <c r="A530" s="131" t="s">
        <v>445</v>
      </c>
      <c r="B530" s="22" t="s">
        <v>123</v>
      </c>
      <c r="C530" s="22" t="s">
        <v>376</v>
      </c>
      <c r="D530" s="22" t="s">
        <v>376</v>
      </c>
      <c r="E530" s="22" t="s">
        <v>309</v>
      </c>
      <c r="F530" s="22" t="s">
        <v>82</v>
      </c>
      <c r="G530" s="156">
        <f>3+3.5</f>
        <v>6.5</v>
      </c>
      <c r="H530" s="156">
        <v>6.5</v>
      </c>
      <c r="I530" s="156">
        <f>3+3.5</f>
        <v>6.5</v>
      </c>
      <c r="J530" s="156">
        <f t="shared" si="120"/>
        <v>100</v>
      </c>
    </row>
    <row r="531" spans="1:10" s="219" customFormat="1">
      <c r="A531" s="173" t="s">
        <v>67</v>
      </c>
      <c r="B531" s="140" t="s">
        <v>123</v>
      </c>
      <c r="C531" s="140" t="s">
        <v>376</v>
      </c>
      <c r="D531" s="140" t="s">
        <v>376</v>
      </c>
      <c r="E531" s="140" t="s">
        <v>187</v>
      </c>
      <c r="F531" s="22"/>
      <c r="G531" s="175">
        <f t="shared" ref="G531:I534" si="125">G532</f>
        <v>222.03399999999999</v>
      </c>
      <c r="H531" s="175">
        <f t="shared" si="125"/>
        <v>170.53303</v>
      </c>
      <c r="I531" s="175">
        <f t="shared" si="125"/>
        <v>222.03399999999999</v>
      </c>
      <c r="J531" s="175">
        <f t="shared" si="120"/>
        <v>100</v>
      </c>
    </row>
    <row r="532" spans="1:10" s="219" customFormat="1">
      <c r="A532" s="212" t="s">
        <v>272</v>
      </c>
      <c r="B532" s="132" t="s">
        <v>123</v>
      </c>
      <c r="C532" s="132" t="s">
        <v>376</v>
      </c>
      <c r="D532" s="132" t="s">
        <v>376</v>
      </c>
      <c r="E532" s="132" t="s">
        <v>188</v>
      </c>
      <c r="F532" s="22"/>
      <c r="G532" s="158">
        <f t="shared" si="125"/>
        <v>222.03399999999999</v>
      </c>
      <c r="H532" s="158">
        <f t="shared" si="125"/>
        <v>170.53303</v>
      </c>
      <c r="I532" s="158">
        <f t="shared" si="125"/>
        <v>222.03399999999999</v>
      </c>
      <c r="J532" s="158">
        <f t="shared" si="120"/>
        <v>100</v>
      </c>
    </row>
    <row r="533" spans="1:10" s="219" customFormat="1">
      <c r="A533" s="133" t="s">
        <v>774</v>
      </c>
      <c r="B533" s="132" t="s">
        <v>123</v>
      </c>
      <c r="C533" s="132" t="s">
        <v>376</v>
      </c>
      <c r="D533" s="132" t="s">
        <v>376</v>
      </c>
      <c r="E533" s="132" t="s">
        <v>769</v>
      </c>
      <c r="F533" s="132"/>
      <c r="G533" s="158">
        <f t="shared" si="125"/>
        <v>222.03399999999999</v>
      </c>
      <c r="H533" s="158">
        <f t="shared" si="125"/>
        <v>170.53303</v>
      </c>
      <c r="I533" s="158">
        <f t="shared" si="125"/>
        <v>222.03399999999999</v>
      </c>
      <c r="J533" s="158">
        <f t="shared" si="120"/>
        <v>100</v>
      </c>
    </row>
    <row r="534" spans="1:10" s="219" customFormat="1" ht="36">
      <c r="A534" s="131" t="s">
        <v>72</v>
      </c>
      <c r="B534" s="22" t="s">
        <v>123</v>
      </c>
      <c r="C534" s="22" t="s">
        <v>376</v>
      </c>
      <c r="D534" s="22" t="s">
        <v>376</v>
      </c>
      <c r="E534" s="22" t="s">
        <v>769</v>
      </c>
      <c r="F534" s="22" t="s">
        <v>73</v>
      </c>
      <c r="G534" s="156">
        <f t="shared" si="125"/>
        <v>222.03399999999999</v>
      </c>
      <c r="H534" s="156">
        <f t="shared" si="125"/>
        <v>170.53303</v>
      </c>
      <c r="I534" s="156">
        <f t="shared" si="125"/>
        <v>222.03399999999999</v>
      </c>
      <c r="J534" s="156">
        <f t="shared" si="120"/>
        <v>100</v>
      </c>
    </row>
    <row r="535" spans="1:10" s="219" customFormat="1">
      <c r="A535" s="131" t="s">
        <v>74</v>
      </c>
      <c r="B535" s="22" t="s">
        <v>123</v>
      </c>
      <c r="C535" s="22" t="s">
        <v>376</v>
      </c>
      <c r="D535" s="22" t="s">
        <v>376</v>
      </c>
      <c r="E535" s="22" t="s">
        <v>769</v>
      </c>
      <c r="F535" s="22" t="s">
        <v>75</v>
      </c>
      <c r="G535" s="156">
        <v>222.03399999999999</v>
      </c>
      <c r="H535" s="156">
        <v>170.53303</v>
      </c>
      <c r="I535" s="156">
        <v>222.03399999999999</v>
      </c>
      <c r="J535" s="156">
        <f t="shared" si="120"/>
        <v>100</v>
      </c>
    </row>
    <row r="536" spans="1:10" s="219" customFormat="1">
      <c r="A536" s="133" t="s">
        <v>351</v>
      </c>
      <c r="B536" s="132" t="s">
        <v>123</v>
      </c>
      <c r="C536" s="132" t="s">
        <v>428</v>
      </c>
      <c r="D536" s="132" t="s">
        <v>70</v>
      </c>
      <c r="E536" s="132"/>
      <c r="F536" s="132"/>
      <c r="G536" s="158">
        <f t="shared" ref="G536:I537" si="126">G537</f>
        <v>127.16200000000001</v>
      </c>
      <c r="H536" s="158">
        <f t="shared" si="126"/>
        <v>127.16200000000001</v>
      </c>
      <c r="I536" s="158">
        <f t="shared" si="126"/>
        <v>127.16200000000001</v>
      </c>
      <c r="J536" s="158">
        <f t="shared" si="120"/>
        <v>100</v>
      </c>
    </row>
    <row r="537" spans="1:10" s="219" customFormat="1">
      <c r="A537" s="133" t="s">
        <v>408</v>
      </c>
      <c r="B537" s="132" t="s">
        <v>123</v>
      </c>
      <c r="C537" s="132" t="s">
        <v>428</v>
      </c>
      <c r="D537" s="132" t="s">
        <v>71</v>
      </c>
      <c r="E537" s="132"/>
      <c r="F537" s="132"/>
      <c r="G537" s="158">
        <f t="shared" si="126"/>
        <v>127.16200000000001</v>
      </c>
      <c r="H537" s="158">
        <f t="shared" si="126"/>
        <v>127.16200000000001</v>
      </c>
      <c r="I537" s="158">
        <f t="shared" si="126"/>
        <v>127.16200000000001</v>
      </c>
      <c r="J537" s="158">
        <f t="shared" si="120"/>
        <v>100</v>
      </c>
    </row>
    <row r="538" spans="1:10" s="219" customFormat="1" ht="27">
      <c r="A538" s="174" t="s">
        <v>671</v>
      </c>
      <c r="B538" s="144" t="s">
        <v>123</v>
      </c>
      <c r="C538" s="144" t="s">
        <v>428</v>
      </c>
      <c r="D538" s="144" t="s">
        <v>71</v>
      </c>
      <c r="E538" s="228" t="s">
        <v>225</v>
      </c>
      <c r="F538" s="144"/>
      <c r="G538" s="218">
        <f>G539+G542</f>
        <v>127.16200000000001</v>
      </c>
      <c r="H538" s="218">
        <f>H539+H542</f>
        <v>127.16200000000001</v>
      </c>
      <c r="I538" s="218">
        <f>I539+I542</f>
        <v>127.16200000000001</v>
      </c>
      <c r="J538" s="218">
        <f t="shared" si="120"/>
        <v>100</v>
      </c>
    </row>
    <row r="539" spans="1:10" s="208" customFormat="1">
      <c r="A539" s="133" t="s">
        <v>510</v>
      </c>
      <c r="B539" s="132" t="s">
        <v>123</v>
      </c>
      <c r="C539" s="132" t="s">
        <v>428</v>
      </c>
      <c r="D539" s="132" t="s">
        <v>71</v>
      </c>
      <c r="E539" s="132" t="s">
        <v>511</v>
      </c>
      <c r="F539" s="132"/>
      <c r="G539" s="158">
        <f t="shared" ref="G539:I540" si="127">G540</f>
        <v>126.66200000000001</v>
      </c>
      <c r="H539" s="158">
        <f t="shared" si="127"/>
        <v>126.66200000000001</v>
      </c>
      <c r="I539" s="158">
        <f t="shared" si="127"/>
        <v>126.66200000000001</v>
      </c>
      <c r="J539" s="158">
        <f t="shared" si="120"/>
        <v>100</v>
      </c>
    </row>
    <row r="540" spans="1:10">
      <c r="A540" s="131" t="s">
        <v>486</v>
      </c>
      <c r="B540" s="22" t="s">
        <v>123</v>
      </c>
      <c r="C540" s="22" t="s">
        <v>428</v>
      </c>
      <c r="D540" s="22" t="s">
        <v>71</v>
      </c>
      <c r="E540" s="22" t="s">
        <v>511</v>
      </c>
      <c r="F540" s="22" t="s">
        <v>77</v>
      </c>
      <c r="G540" s="156">
        <f t="shared" si="127"/>
        <v>126.66200000000001</v>
      </c>
      <c r="H540" s="156">
        <f t="shared" si="127"/>
        <v>126.66200000000001</v>
      </c>
      <c r="I540" s="156">
        <f t="shared" si="127"/>
        <v>126.66200000000001</v>
      </c>
      <c r="J540" s="156">
        <f t="shared" si="120"/>
        <v>100</v>
      </c>
    </row>
    <row r="541" spans="1:10">
      <c r="A541" s="131" t="s">
        <v>78</v>
      </c>
      <c r="B541" s="22" t="s">
        <v>123</v>
      </c>
      <c r="C541" s="22" t="s">
        <v>428</v>
      </c>
      <c r="D541" s="22" t="s">
        <v>71</v>
      </c>
      <c r="E541" s="22" t="s">
        <v>511</v>
      </c>
      <c r="F541" s="22" t="s">
        <v>79</v>
      </c>
      <c r="G541" s="156">
        <v>126.66200000000001</v>
      </c>
      <c r="H541" s="156">
        <v>126.66200000000001</v>
      </c>
      <c r="I541" s="156">
        <v>126.66200000000001</v>
      </c>
      <c r="J541" s="156">
        <f t="shared" si="120"/>
        <v>100</v>
      </c>
    </row>
    <row r="542" spans="1:10">
      <c r="A542" s="133" t="s">
        <v>512</v>
      </c>
      <c r="B542" s="132" t="s">
        <v>123</v>
      </c>
      <c r="C542" s="132" t="s">
        <v>428</v>
      </c>
      <c r="D542" s="132" t="s">
        <v>71</v>
      </c>
      <c r="E542" s="132" t="s">
        <v>513</v>
      </c>
      <c r="F542" s="132"/>
      <c r="G542" s="158">
        <f t="shared" ref="G542:I543" si="128">G543</f>
        <v>0.5</v>
      </c>
      <c r="H542" s="158">
        <f t="shared" si="128"/>
        <v>0.5</v>
      </c>
      <c r="I542" s="158">
        <f t="shared" si="128"/>
        <v>0.5</v>
      </c>
      <c r="J542" s="158">
        <f t="shared" si="120"/>
        <v>100</v>
      </c>
    </row>
    <row r="543" spans="1:10">
      <c r="A543" s="131" t="s">
        <v>486</v>
      </c>
      <c r="B543" s="22" t="s">
        <v>123</v>
      </c>
      <c r="C543" s="22" t="s">
        <v>428</v>
      </c>
      <c r="D543" s="22" t="s">
        <v>71</v>
      </c>
      <c r="E543" s="22" t="s">
        <v>513</v>
      </c>
      <c r="F543" s="22" t="s">
        <v>77</v>
      </c>
      <c r="G543" s="156">
        <f t="shared" si="128"/>
        <v>0.5</v>
      </c>
      <c r="H543" s="156">
        <f t="shared" si="128"/>
        <v>0.5</v>
      </c>
      <c r="I543" s="156">
        <f t="shared" si="128"/>
        <v>0.5</v>
      </c>
      <c r="J543" s="156">
        <f t="shared" si="120"/>
        <v>100</v>
      </c>
    </row>
    <row r="544" spans="1:10">
      <c r="A544" s="131" t="s">
        <v>78</v>
      </c>
      <c r="B544" s="22" t="s">
        <v>123</v>
      </c>
      <c r="C544" s="22" t="s">
        <v>428</v>
      </c>
      <c r="D544" s="22" t="s">
        <v>71</v>
      </c>
      <c r="E544" s="22" t="s">
        <v>513</v>
      </c>
      <c r="F544" s="22" t="s">
        <v>79</v>
      </c>
      <c r="G544" s="156">
        <v>0.5</v>
      </c>
      <c r="H544" s="156">
        <v>0.5</v>
      </c>
      <c r="I544" s="156">
        <v>0.5</v>
      </c>
      <c r="J544" s="156">
        <f t="shared" si="120"/>
        <v>100</v>
      </c>
    </row>
    <row r="545" spans="1:10" ht="31.5">
      <c r="A545" s="213" t="s">
        <v>365</v>
      </c>
      <c r="B545" s="237" t="s">
        <v>366</v>
      </c>
      <c r="C545" s="151"/>
      <c r="D545" s="151"/>
      <c r="E545" s="151"/>
      <c r="F545" s="151"/>
      <c r="G545" s="215">
        <f>G552+G561+G616+G636+G648+G546</f>
        <v>432411.07942000008</v>
      </c>
      <c r="H545" s="215">
        <f>H552+H561+H616+H636+H648+H546</f>
        <v>251751.29284000004</v>
      </c>
      <c r="I545" s="215">
        <f>I552+I561+I616+I636+I648+I546</f>
        <v>398238.97941999999</v>
      </c>
      <c r="J545" s="215">
        <f t="shared" si="120"/>
        <v>92.097311649406464</v>
      </c>
    </row>
    <row r="546" spans="1:10">
      <c r="A546" s="133" t="s">
        <v>103</v>
      </c>
      <c r="B546" s="132" t="s">
        <v>366</v>
      </c>
      <c r="C546" s="132" t="s">
        <v>69</v>
      </c>
      <c r="D546" s="132" t="s">
        <v>70</v>
      </c>
      <c r="E546" s="132"/>
      <c r="F546" s="132"/>
      <c r="G546" s="158">
        <f t="shared" ref="G546:I550" si="129">G547</f>
        <v>50.982999999999997</v>
      </c>
      <c r="H546" s="158">
        <f t="shared" si="129"/>
        <v>50.982999999999997</v>
      </c>
      <c r="I546" s="158">
        <f t="shared" si="129"/>
        <v>50.982999999999997</v>
      </c>
      <c r="J546" s="158">
        <f t="shared" si="120"/>
        <v>100</v>
      </c>
    </row>
    <row r="547" spans="1:10">
      <c r="A547" s="133" t="s">
        <v>285</v>
      </c>
      <c r="B547" s="132" t="s">
        <v>366</v>
      </c>
      <c r="C547" s="132" t="s">
        <v>69</v>
      </c>
      <c r="D547" s="132" t="s">
        <v>86</v>
      </c>
      <c r="E547" s="132"/>
      <c r="F547" s="132"/>
      <c r="G547" s="158">
        <f t="shared" si="129"/>
        <v>50.982999999999997</v>
      </c>
      <c r="H547" s="158">
        <f t="shared" si="129"/>
        <v>50.982999999999997</v>
      </c>
      <c r="I547" s="158">
        <f t="shared" si="129"/>
        <v>50.982999999999997</v>
      </c>
      <c r="J547" s="158">
        <f t="shared" si="120"/>
        <v>100</v>
      </c>
    </row>
    <row r="548" spans="1:10">
      <c r="A548" s="133" t="s">
        <v>272</v>
      </c>
      <c r="B548" s="132" t="s">
        <v>366</v>
      </c>
      <c r="C548" s="132" t="s">
        <v>69</v>
      </c>
      <c r="D548" s="132" t="s">
        <v>86</v>
      </c>
      <c r="E548" s="210" t="s">
        <v>188</v>
      </c>
      <c r="F548" s="132"/>
      <c r="G548" s="158">
        <f t="shared" si="129"/>
        <v>50.982999999999997</v>
      </c>
      <c r="H548" s="158">
        <f t="shared" si="129"/>
        <v>50.982999999999997</v>
      </c>
      <c r="I548" s="158">
        <f t="shared" si="129"/>
        <v>50.982999999999997</v>
      </c>
      <c r="J548" s="158">
        <f t="shared" si="120"/>
        <v>100</v>
      </c>
    </row>
    <row r="549" spans="1:10">
      <c r="A549" s="224" t="s">
        <v>286</v>
      </c>
      <c r="B549" s="140" t="s">
        <v>366</v>
      </c>
      <c r="C549" s="140" t="s">
        <v>69</v>
      </c>
      <c r="D549" s="140" t="s">
        <v>86</v>
      </c>
      <c r="E549" s="231" t="s">
        <v>525</v>
      </c>
      <c r="F549" s="140"/>
      <c r="G549" s="175">
        <f t="shared" si="129"/>
        <v>50.982999999999997</v>
      </c>
      <c r="H549" s="175">
        <f t="shared" si="129"/>
        <v>50.982999999999997</v>
      </c>
      <c r="I549" s="175">
        <f t="shared" si="129"/>
        <v>50.982999999999997</v>
      </c>
      <c r="J549" s="175">
        <f t="shared" si="120"/>
        <v>100</v>
      </c>
    </row>
    <row r="550" spans="1:10">
      <c r="A550" s="131" t="s">
        <v>80</v>
      </c>
      <c r="B550" s="22" t="s">
        <v>366</v>
      </c>
      <c r="C550" s="22" t="s">
        <v>69</v>
      </c>
      <c r="D550" s="22" t="s">
        <v>86</v>
      </c>
      <c r="E550" s="211" t="s">
        <v>525</v>
      </c>
      <c r="F550" s="22" t="s">
        <v>81</v>
      </c>
      <c r="G550" s="156">
        <f t="shared" si="129"/>
        <v>50.982999999999997</v>
      </c>
      <c r="H550" s="156">
        <f t="shared" si="129"/>
        <v>50.982999999999997</v>
      </c>
      <c r="I550" s="156">
        <f t="shared" si="129"/>
        <v>50.982999999999997</v>
      </c>
      <c r="J550" s="156">
        <f t="shared" si="120"/>
        <v>100</v>
      </c>
    </row>
    <row r="551" spans="1:10">
      <c r="A551" s="131" t="s">
        <v>445</v>
      </c>
      <c r="B551" s="22" t="s">
        <v>366</v>
      </c>
      <c r="C551" s="22" t="s">
        <v>69</v>
      </c>
      <c r="D551" s="22" t="s">
        <v>86</v>
      </c>
      <c r="E551" s="211" t="s">
        <v>525</v>
      </c>
      <c r="F551" s="22" t="s">
        <v>82</v>
      </c>
      <c r="G551" s="156">
        <v>50.982999999999997</v>
      </c>
      <c r="H551" s="156">
        <v>50.982999999999997</v>
      </c>
      <c r="I551" s="156">
        <v>50.982999999999997</v>
      </c>
      <c r="J551" s="156">
        <f t="shared" si="120"/>
        <v>100</v>
      </c>
    </row>
    <row r="552" spans="1:10">
      <c r="A552" s="133" t="s">
        <v>321</v>
      </c>
      <c r="B552" s="132" t="s">
        <v>366</v>
      </c>
      <c r="C552" s="132" t="s">
        <v>71</v>
      </c>
      <c r="D552" s="132" t="s">
        <v>70</v>
      </c>
      <c r="E552" s="132"/>
      <c r="F552" s="132"/>
      <c r="G552" s="158">
        <f t="shared" ref="G552:I553" si="130">G553</f>
        <v>7327.85</v>
      </c>
      <c r="H552" s="158">
        <f t="shared" si="130"/>
        <v>1448.4190000000001</v>
      </c>
      <c r="I552" s="158">
        <f t="shared" si="130"/>
        <v>6055.75</v>
      </c>
      <c r="J552" s="158">
        <f t="shared" si="120"/>
        <v>82.64020142333699</v>
      </c>
    </row>
    <row r="553" spans="1:10" ht="24">
      <c r="A553" s="133" t="s">
        <v>610</v>
      </c>
      <c r="B553" s="132" t="s">
        <v>366</v>
      </c>
      <c r="C553" s="132" t="s">
        <v>71</v>
      </c>
      <c r="D553" s="132" t="s">
        <v>429</v>
      </c>
      <c r="E553" s="148"/>
      <c r="F553" s="132"/>
      <c r="G553" s="158">
        <f t="shared" si="130"/>
        <v>7327.85</v>
      </c>
      <c r="H553" s="158">
        <f t="shared" si="130"/>
        <v>1448.4190000000001</v>
      </c>
      <c r="I553" s="158">
        <f t="shared" si="130"/>
        <v>6055.75</v>
      </c>
      <c r="J553" s="158">
        <f t="shared" si="120"/>
        <v>82.64020142333699</v>
      </c>
    </row>
    <row r="554" spans="1:10" ht="27">
      <c r="A554" s="174" t="s">
        <v>674</v>
      </c>
      <c r="B554" s="144" t="s">
        <v>366</v>
      </c>
      <c r="C554" s="144" t="s">
        <v>71</v>
      </c>
      <c r="D554" s="144" t="s">
        <v>429</v>
      </c>
      <c r="E554" s="144" t="s">
        <v>243</v>
      </c>
      <c r="F554" s="144"/>
      <c r="G554" s="218">
        <f>G555+G558</f>
        <v>7327.85</v>
      </c>
      <c r="H554" s="218">
        <f>H555+H558</f>
        <v>1448.4190000000001</v>
      </c>
      <c r="I554" s="218">
        <f>I555+I558</f>
        <v>6055.75</v>
      </c>
      <c r="J554" s="218">
        <f t="shared" si="120"/>
        <v>82.64020142333699</v>
      </c>
    </row>
    <row r="555" spans="1:10">
      <c r="A555" s="133" t="s">
        <v>200</v>
      </c>
      <c r="B555" s="132" t="s">
        <v>366</v>
      </c>
      <c r="C555" s="132" t="s">
        <v>71</v>
      </c>
      <c r="D555" s="132" t="s">
        <v>429</v>
      </c>
      <c r="E555" s="132" t="s">
        <v>611</v>
      </c>
      <c r="F555" s="132"/>
      <c r="G555" s="158">
        <f t="shared" ref="G555:I556" si="131">G556</f>
        <v>7227.85</v>
      </c>
      <c r="H555" s="158">
        <f t="shared" si="131"/>
        <v>1427.596</v>
      </c>
      <c r="I555" s="158">
        <f t="shared" si="131"/>
        <v>5955.75</v>
      </c>
      <c r="J555" s="158">
        <f t="shared" si="120"/>
        <v>82.400022136596633</v>
      </c>
    </row>
    <row r="556" spans="1:10">
      <c r="A556" s="131" t="s">
        <v>486</v>
      </c>
      <c r="B556" s="22" t="s">
        <v>366</v>
      </c>
      <c r="C556" s="22" t="s">
        <v>71</v>
      </c>
      <c r="D556" s="22" t="s">
        <v>429</v>
      </c>
      <c r="E556" s="22" t="s">
        <v>611</v>
      </c>
      <c r="F556" s="22" t="s">
        <v>77</v>
      </c>
      <c r="G556" s="156">
        <f t="shared" si="131"/>
        <v>7227.85</v>
      </c>
      <c r="H556" s="156">
        <f t="shared" si="131"/>
        <v>1427.596</v>
      </c>
      <c r="I556" s="156">
        <f t="shared" si="131"/>
        <v>5955.75</v>
      </c>
      <c r="J556" s="156">
        <f t="shared" si="120"/>
        <v>82.400022136596633</v>
      </c>
    </row>
    <row r="557" spans="1:10">
      <c r="A557" s="131" t="s">
        <v>78</v>
      </c>
      <c r="B557" s="22" t="s">
        <v>366</v>
      </c>
      <c r="C557" s="22" t="s">
        <v>71</v>
      </c>
      <c r="D557" s="22" t="s">
        <v>429</v>
      </c>
      <c r="E557" s="22" t="s">
        <v>611</v>
      </c>
      <c r="F557" s="22" t="s">
        <v>79</v>
      </c>
      <c r="G557" s="156">
        <f>1000+4000+1800+427.85</f>
        <v>7227.85</v>
      </c>
      <c r="H557" s="156">
        <v>1427.596</v>
      </c>
      <c r="I557" s="156">
        <f>1000+4000+1800+427.85-1272.1</f>
        <v>5955.75</v>
      </c>
      <c r="J557" s="156">
        <f t="shared" si="120"/>
        <v>82.400022136596633</v>
      </c>
    </row>
    <row r="558" spans="1:10">
      <c r="A558" s="229" t="s">
        <v>120</v>
      </c>
      <c r="B558" s="132" t="s">
        <v>366</v>
      </c>
      <c r="C558" s="132" t="s">
        <v>71</v>
      </c>
      <c r="D558" s="132" t="s">
        <v>429</v>
      </c>
      <c r="E558" s="132" t="s">
        <v>612</v>
      </c>
      <c r="F558" s="132"/>
      <c r="G558" s="158">
        <f t="shared" ref="G558:I559" si="132">G559</f>
        <v>100</v>
      </c>
      <c r="H558" s="158">
        <f t="shared" si="132"/>
        <v>20.823</v>
      </c>
      <c r="I558" s="158">
        <f t="shared" si="132"/>
        <v>100</v>
      </c>
      <c r="J558" s="158">
        <f t="shared" si="120"/>
        <v>100</v>
      </c>
    </row>
    <row r="559" spans="1:10">
      <c r="A559" s="131" t="s">
        <v>486</v>
      </c>
      <c r="B559" s="22" t="s">
        <v>366</v>
      </c>
      <c r="C559" s="22" t="s">
        <v>71</v>
      </c>
      <c r="D559" s="22" t="s">
        <v>429</v>
      </c>
      <c r="E559" s="22" t="s">
        <v>612</v>
      </c>
      <c r="F559" s="22" t="s">
        <v>77</v>
      </c>
      <c r="G559" s="156">
        <f t="shared" si="132"/>
        <v>100</v>
      </c>
      <c r="H559" s="156">
        <f t="shared" si="132"/>
        <v>20.823</v>
      </c>
      <c r="I559" s="156">
        <f t="shared" si="132"/>
        <v>100</v>
      </c>
      <c r="J559" s="156">
        <f t="shared" si="120"/>
        <v>100</v>
      </c>
    </row>
    <row r="560" spans="1:10">
      <c r="A560" s="131" t="s">
        <v>78</v>
      </c>
      <c r="B560" s="22" t="s">
        <v>366</v>
      </c>
      <c r="C560" s="22" t="s">
        <v>71</v>
      </c>
      <c r="D560" s="22" t="s">
        <v>429</v>
      </c>
      <c r="E560" s="22" t="s">
        <v>612</v>
      </c>
      <c r="F560" s="22" t="s">
        <v>79</v>
      </c>
      <c r="G560" s="156">
        <v>100</v>
      </c>
      <c r="H560" s="156">
        <v>20.823</v>
      </c>
      <c r="I560" s="156">
        <v>100</v>
      </c>
      <c r="J560" s="156">
        <f t="shared" si="120"/>
        <v>100</v>
      </c>
    </row>
    <row r="561" spans="1:10">
      <c r="A561" s="133" t="s">
        <v>333</v>
      </c>
      <c r="B561" s="132" t="s">
        <v>366</v>
      </c>
      <c r="C561" s="132" t="s">
        <v>376</v>
      </c>
      <c r="D561" s="132" t="s">
        <v>70</v>
      </c>
      <c r="E561" s="132"/>
      <c r="F561" s="132"/>
      <c r="G561" s="158">
        <f>G562+G570+G587+G598</f>
        <v>291484.88297000004</v>
      </c>
      <c r="H561" s="158">
        <f>H562+H570+H587+H598</f>
        <v>171024.47781000004</v>
      </c>
      <c r="I561" s="158">
        <f>I562+I570+I587+I598</f>
        <v>259984.88296999998</v>
      </c>
      <c r="J561" s="158">
        <f t="shared" si="120"/>
        <v>89.193264611516028</v>
      </c>
    </row>
    <row r="562" spans="1:10">
      <c r="A562" s="133" t="s">
        <v>334</v>
      </c>
      <c r="B562" s="132" t="s">
        <v>366</v>
      </c>
      <c r="C562" s="132" t="s">
        <v>376</v>
      </c>
      <c r="D562" s="132" t="s">
        <v>69</v>
      </c>
      <c r="E562" s="132"/>
      <c r="F562" s="132"/>
      <c r="G562" s="158">
        <f>G563</f>
        <v>2300</v>
      </c>
      <c r="H562" s="158">
        <f t="shared" ref="H562:I562" si="133">H563</f>
        <v>533.59199999999998</v>
      </c>
      <c r="I562" s="158">
        <f t="shared" si="133"/>
        <v>2300</v>
      </c>
      <c r="J562" s="158">
        <f t="shared" si="120"/>
        <v>100</v>
      </c>
    </row>
    <row r="563" spans="1:10" ht="27">
      <c r="A563" s="174" t="s">
        <v>674</v>
      </c>
      <c r="B563" s="144" t="s">
        <v>366</v>
      </c>
      <c r="C563" s="144" t="s">
        <v>376</v>
      </c>
      <c r="D563" s="144" t="s">
        <v>69</v>
      </c>
      <c r="E563" s="144" t="s">
        <v>243</v>
      </c>
      <c r="F563" s="144"/>
      <c r="G563" s="218">
        <f>G564+G567</f>
        <v>2300</v>
      </c>
      <c r="H563" s="218">
        <f t="shared" ref="H563:I563" si="134">H564+H567</f>
        <v>533.59199999999998</v>
      </c>
      <c r="I563" s="218">
        <f t="shared" si="134"/>
        <v>2300</v>
      </c>
      <c r="J563" s="218">
        <f t="shared" si="120"/>
        <v>100</v>
      </c>
    </row>
    <row r="564" spans="1:10" ht="24">
      <c r="A564" s="133" t="s">
        <v>434</v>
      </c>
      <c r="B564" s="132" t="s">
        <v>366</v>
      </c>
      <c r="C564" s="132" t="s">
        <v>376</v>
      </c>
      <c r="D564" s="132" t="s">
        <v>69</v>
      </c>
      <c r="E564" s="132" t="s">
        <v>613</v>
      </c>
      <c r="F564" s="132"/>
      <c r="G564" s="158">
        <f t="shared" ref="G564:I565" si="135">G565</f>
        <v>2000</v>
      </c>
      <c r="H564" s="158">
        <f t="shared" si="135"/>
        <v>503.59199999999998</v>
      </c>
      <c r="I564" s="158">
        <f t="shared" si="135"/>
        <v>2000</v>
      </c>
      <c r="J564" s="158">
        <f t="shared" si="120"/>
        <v>100</v>
      </c>
    </row>
    <row r="565" spans="1:10">
      <c r="A565" s="131" t="s">
        <v>486</v>
      </c>
      <c r="B565" s="22" t="s">
        <v>366</v>
      </c>
      <c r="C565" s="22" t="s">
        <v>376</v>
      </c>
      <c r="D565" s="22" t="s">
        <v>69</v>
      </c>
      <c r="E565" s="22" t="s">
        <v>613</v>
      </c>
      <c r="F565" s="22" t="s">
        <v>77</v>
      </c>
      <c r="G565" s="156">
        <f t="shared" si="135"/>
        <v>2000</v>
      </c>
      <c r="H565" s="156">
        <f t="shared" si="135"/>
        <v>503.59199999999998</v>
      </c>
      <c r="I565" s="156">
        <f t="shared" si="135"/>
        <v>2000</v>
      </c>
      <c r="J565" s="156">
        <f t="shared" si="120"/>
        <v>100</v>
      </c>
    </row>
    <row r="566" spans="1:10">
      <c r="A566" s="131" t="s">
        <v>78</v>
      </c>
      <c r="B566" s="22" t="s">
        <v>366</v>
      </c>
      <c r="C566" s="22" t="s">
        <v>376</v>
      </c>
      <c r="D566" s="22" t="s">
        <v>69</v>
      </c>
      <c r="E566" s="22" t="s">
        <v>613</v>
      </c>
      <c r="F566" s="22" t="s">
        <v>79</v>
      </c>
      <c r="G566" s="156">
        <v>2000</v>
      </c>
      <c r="H566" s="156">
        <v>503.59199999999998</v>
      </c>
      <c r="I566" s="156">
        <v>2000</v>
      </c>
      <c r="J566" s="156">
        <f t="shared" si="120"/>
        <v>100</v>
      </c>
    </row>
    <row r="567" spans="1:10">
      <c r="A567" s="229" t="s">
        <v>120</v>
      </c>
      <c r="B567" s="132" t="s">
        <v>366</v>
      </c>
      <c r="C567" s="132" t="s">
        <v>376</v>
      </c>
      <c r="D567" s="132" t="s">
        <v>69</v>
      </c>
      <c r="E567" s="132" t="s">
        <v>612</v>
      </c>
      <c r="F567" s="132"/>
      <c r="G567" s="158">
        <f t="shared" ref="G567:I568" si="136">G568</f>
        <v>300</v>
      </c>
      <c r="H567" s="158">
        <f t="shared" si="136"/>
        <v>30</v>
      </c>
      <c r="I567" s="158">
        <f t="shared" si="136"/>
        <v>300</v>
      </c>
      <c r="J567" s="158">
        <f t="shared" si="120"/>
        <v>100</v>
      </c>
    </row>
    <row r="568" spans="1:10">
      <c r="A568" s="131" t="s">
        <v>486</v>
      </c>
      <c r="B568" s="22" t="s">
        <v>366</v>
      </c>
      <c r="C568" s="22" t="s">
        <v>376</v>
      </c>
      <c r="D568" s="22" t="s">
        <v>69</v>
      </c>
      <c r="E568" s="22" t="s">
        <v>612</v>
      </c>
      <c r="F568" s="22" t="s">
        <v>77</v>
      </c>
      <c r="G568" s="156">
        <f t="shared" si="136"/>
        <v>300</v>
      </c>
      <c r="H568" s="156">
        <f t="shared" si="136"/>
        <v>30</v>
      </c>
      <c r="I568" s="156">
        <f t="shared" si="136"/>
        <v>300</v>
      </c>
      <c r="J568" s="156">
        <f t="shared" si="120"/>
        <v>100</v>
      </c>
    </row>
    <row r="569" spans="1:10">
      <c r="A569" s="131" t="s">
        <v>78</v>
      </c>
      <c r="B569" s="22" t="s">
        <v>366</v>
      </c>
      <c r="C569" s="22" t="s">
        <v>376</v>
      </c>
      <c r="D569" s="22" t="s">
        <v>69</v>
      </c>
      <c r="E569" s="22" t="s">
        <v>612</v>
      </c>
      <c r="F569" s="22" t="s">
        <v>79</v>
      </c>
      <c r="G569" s="156">
        <v>300</v>
      </c>
      <c r="H569" s="156">
        <v>30</v>
      </c>
      <c r="I569" s="156">
        <v>300</v>
      </c>
      <c r="J569" s="156">
        <f t="shared" si="120"/>
        <v>100</v>
      </c>
    </row>
    <row r="570" spans="1:10">
      <c r="A570" s="133" t="s">
        <v>335</v>
      </c>
      <c r="B570" s="132" t="s">
        <v>366</v>
      </c>
      <c r="C570" s="132" t="s">
        <v>376</v>
      </c>
      <c r="D570" s="132" t="s">
        <v>431</v>
      </c>
      <c r="E570" s="132"/>
      <c r="F570" s="132"/>
      <c r="G570" s="158">
        <f>G571</f>
        <v>63595.710939999997</v>
      </c>
      <c r="H570" s="158">
        <f>H571</f>
        <v>13078.51261</v>
      </c>
      <c r="I570" s="158">
        <f>I571</f>
        <v>42095.710939999997</v>
      </c>
      <c r="J570" s="158">
        <f t="shared" ref="J570:J623" si="137">I570/G570*100</f>
        <v>66.192688654295594</v>
      </c>
    </row>
    <row r="571" spans="1:10" ht="27">
      <c r="A571" s="174" t="s">
        <v>674</v>
      </c>
      <c r="B571" s="144" t="s">
        <v>366</v>
      </c>
      <c r="C571" s="144" t="s">
        <v>376</v>
      </c>
      <c r="D571" s="144" t="s">
        <v>431</v>
      </c>
      <c r="E571" s="144" t="s">
        <v>243</v>
      </c>
      <c r="F571" s="144"/>
      <c r="G571" s="218">
        <f>G572+G575+G578+G581+G584</f>
        <v>63595.710939999997</v>
      </c>
      <c r="H571" s="218">
        <f t="shared" ref="H571:I571" si="138">H572+H575+H578+H581+H584</f>
        <v>13078.51261</v>
      </c>
      <c r="I571" s="218">
        <f t="shared" si="138"/>
        <v>42095.710939999997</v>
      </c>
      <c r="J571" s="218">
        <f t="shared" si="137"/>
        <v>66.192688654295594</v>
      </c>
    </row>
    <row r="572" spans="1:10">
      <c r="A572" s="229" t="s">
        <v>120</v>
      </c>
      <c r="B572" s="132" t="s">
        <v>366</v>
      </c>
      <c r="C572" s="132" t="s">
        <v>376</v>
      </c>
      <c r="D572" s="132" t="s">
        <v>431</v>
      </c>
      <c r="E572" s="132" t="s">
        <v>612</v>
      </c>
      <c r="F572" s="22"/>
      <c r="G572" s="158">
        <f t="shared" ref="G572:I573" si="139">G573</f>
        <v>6190.2939999999999</v>
      </c>
      <c r="H572" s="158">
        <f t="shared" si="139"/>
        <v>198.81326999999999</v>
      </c>
      <c r="I572" s="158">
        <f t="shared" si="139"/>
        <v>4190.2939999999999</v>
      </c>
      <c r="J572" s="158">
        <f t="shared" si="137"/>
        <v>67.691356824086228</v>
      </c>
    </row>
    <row r="573" spans="1:10">
      <c r="A573" s="131" t="s">
        <v>199</v>
      </c>
      <c r="B573" s="22" t="s">
        <v>366</v>
      </c>
      <c r="C573" s="22" t="s">
        <v>376</v>
      </c>
      <c r="D573" s="22" t="s">
        <v>431</v>
      </c>
      <c r="E573" s="22" t="s">
        <v>612</v>
      </c>
      <c r="F573" s="22" t="s">
        <v>377</v>
      </c>
      <c r="G573" s="156">
        <f t="shared" si="139"/>
        <v>6190.2939999999999</v>
      </c>
      <c r="H573" s="156">
        <f t="shared" si="139"/>
        <v>198.81326999999999</v>
      </c>
      <c r="I573" s="156">
        <f t="shared" si="139"/>
        <v>4190.2939999999999</v>
      </c>
      <c r="J573" s="156">
        <f t="shared" si="137"/>
        <v>67.691356824086228</v>
      </c>
    </row>
    <row r="574" spans="1:10">
      <c r="A574" s="131" t="s">
        <v>378</v>
      </c>
      <c r="B574" s="22" t="s">
        <v>366</v>
      </c>
      <c r="C574" s="22" t="s">
        <v>376</v>
      </c>
      <c r="D574" s="22" t="s">
        <v>431</v>
      </c>
      <c r="E574" s="22" t="s">
        <v>612</v>
      </c>
      <c r="F574" s="22" t="s">
        <v>379</v>
      </c>
      <c r="G574" s="156">
        <f>13000-400-9000+2590.294</f>
        <v>6190.2939999999999</v>
      </c>
      <c r="H574" s="156">
        <v>198.81326999999999</v>
      </c>
      <c r="I574" s="156">
        <f>13000-400-9000+2590.294-2000</f>
        <v>4190.2939999999999</v>
      </c>
      <c r="J574" s="156">
        <f t="shared" si="137"/>
        <v>67.691356824086228</v>
      </c>
    </row>
    <row r="575" spans="1:10">
      <c r="A575" s="133" t="s">
        <v>201</v>
      </c>
      <c r="B575" s="132" t="s">
        <v>366</v>
      </c>
      <c r="C575" s="132" t="s">
        <v>376</v>
      </c>
      <c r="D575" s="132" t="s">
        <v>431</v>
      </c>
      <c r="E575" s="132" t="s">
        <v>614</v>
      </c>
      <c r="F575" s="132"/>
      <c r="G575" s="158">
        <f t="shared" ref="G575:I576" si="140">G576</f>
        <v>12879.7</v>
      </c>
      <c r="H575" s="158">
        <f t="shared" si="140"/>
        <v>12879.699339999999</v>
      </c>
      <c r="I575" s="158">
        <f t="shared" si="140"/>
        <v>12879.7</v>
      </c>
      <c r="J575" s="158">
        <f t="shared" si="137"/>
        <v>100</v>
      </c>
    </row>
    <row r="576" spans="1:10">
      <c r="A576" s="131" t="s">
        <v>199</v>
      </c>
      <c r="B576" s="22" t="s">
        <v>366</v>
      </c>
      <c r="C576" s="22" t="s">
        <v>376</v>
      </c>
      <c r="D576" s="22" t="s">
        <v>431</v>
      </c>
      <c r="E576" s="22" t="s">
        <v>614</v>
      </c>
      <c r="F576" s="22" t="s">
        <v>377</v>
      </c>
      <c r="G576" s="156">
        <f t="shared" si="140"/>
        <v>12879.7</v>
      </c>
      <c r="H576" s="156">
        <f t="shared" si="140"/>
        <v>12879.699339999999</v>
      </c>
      <c r="I576" s="156">
        <f t="shared" si="140"/>
        <v>12879.7</v>
      </c>
      <c r="J576" s="156">
        <f t="shared" si="137"/>
        <v>100</v>
      </c>
    </row>
    <row r="577" spans="1:10">
      <c r="A577" s="131" t="s">
        <v>378</v>
      </c>
      <c r="B577" s="22" t="s">
        <v>366</v>
      </c>
      <c r="C577" s="22" t="s">
        <v>376</v>
      </c>
      <c r="D577" s="22" t="s">
        <v>431</v>
      </c>
      <c r="E577" s="22" t="s">
        <v>614</v>
      </c>
      <c r="F577" s="22" t="s">
        <v>379</v>
      </c>
      <c r="G577" s="156">
        <v>12879.7</v>
      </c>
      <c r="H577" s="156">
        <v>12879.699339999999</v>
      </c>
      <c r="I577" s="156">
        <v>12879.7</v>
      </c>
      <c r="J577" s="156">
        <f t="shared" si="137"/>
        <v>100</v>
      </c>
    </row>
    <row r="578" spans="1:10">
      <c r="A578" s="133" t="s">
        <v>615</v>
      </c>
      <c r="B578" s="132" t="s">
        <v>366</v>
      </c>
      <c r="C578" s="132" t="s">
        <v>376</v>
      </c>
      <c r="D578" s="132" t="s">
        <v>431</v>
      </c>
      <c r="E578" s="132" t="s">
        <v>616</v>
      </c>
      <c r="F578" s="132"/>
      <c r="G578" s="158">
        <f t="shared" ref="G578:I579" si="141">G579</f>
        <v>9525.7169400000002</v>
      </c>
      <c r="H578" s="324">
        <f t="shared" si="141"/>
        <v>0</v>
      </c>
      <c r="I578" s="158">
        <f t="shared" si="141"/>
        <v>25.71694000000025</v>
      </c>
      <c r="J578" s="158">
        <f t="shared" si="137"/>
        <v>0.2699737999983049</v>
      </c>
    </row>
    <row r="579" spans="1:10">
      <c r="A579" s="131" t="s">
        <v>199</v>
      </c>
      <c r="B579" s="22" t="s">
        <v>366</v>
      </c>
      <c r="C579" s="22" t="s">
        <v>376</v>
      </c>
      <c r="D579" s="22" t="s">
        <v>431</v>
      </c>
      <c r="E579" s="22" t="s">
        <v>616</v>
      </c>
      <c r="F579" s="22" t="s">
        <v>377</v>
      </c>
      <c r="G579" s="156">
        <f t="shared" si="141"/>
        <v>9525.7169400000002</v>
      </c>
      <c r="H579" s="323">
        <f t="shared" si="141"/>
        <v>0</v>
      </c>
      <c r="I579" s="156">
        <f t="shared" si="141"/>
        <v>25.71694000000025</v>
      </c>
      <c r="J579" s="156">
        <f t="shared" si="137"/>
        <v>0.2699737999983049</v>
      </c>
    </row>
    <row r="580" spans="1:10">
      <c r="A580" s="131" t="s">
        <v>378</v>
      </c>
      <c r="B580" s="22" t="s">
        <v>366</v>
      </c>
      <c r="C580" s="22" t="s">
        <v>376</v>
      </c>
      <c r="D580" s="22" t="s">
        <v>431</v>
      </c>
      <c r="E580" s="22" t="s">
        <v>616</v>
      </c>
      <c r="F580" s="22" t="s">
        <v>379</v>
      </c>
      <c r="G580" s="156">
        <f>10000-474.28306</f>
        <v>9525.7169400000002</v>
      </c>
      <c r="H580" s="323">
        <v>0</v>
      </c>
      <c r="I580" s="156">
        <f>10000-474.28306-9500</f>
        <v>25.71694000000025</v>
      </c>
      <c r="J580" s="156">
        <f t="shared" si="137"/>
        <v>0.2699737999983049</v>
      </c>
    </row>
    <row r="581" spans="1:10">
      <c r="A581" s="133" t="s">
        <v>766</v>
      </c>
      <c r="B581" s="132" t="s">
        <v>366</v>
      </c>
      <c r="C581" s="132" t="s">
        <v>376</v>
      </c>
      <c r="D581" s="132" t="s">
        <v>431</v>
      </c>
      <c r="E581" s="132" t="s">
        <v>767</v>
      </c>
      <c r="F581" s="132"/>
      <c r="G581" s="158">
        <f t="shared" ref="G581:I582" si="142">G582</f>
        <v>30000</v>
      </c>
      <c r="H581" s="324">
        <f t="shared" si="142"/>
        <v>0</v>
      </c>
      <c r="I581" s="158">
        <f t="shared" si="142"/>
        <v>25000</v>
      </c>
      <c r="J581" s="158">
        <f t="shared" si="137"/>
        <v>83.333333333333343</v>
      </c>
    </row>
    <row r="582" spans="1:10">
      <c r="A582" s="131" t="s">
        <v>486</v>
      </c>
      <c r="B582" s="22" t="s">
        <v>366</v>
      </c>
      <c r="C582" s="22" t="s">
        <v>376</v>
      </c>
      <c r="D582" s="22" t="s">
        <v>431</v>
      </c>
      <c r="E582" s="22" t="s">
        <v>767</v>
      </c>
      <c r="F582" s="22" t="s">
        <v>77</v>
      </c>
      <c r="G582" s="156">
        <f t="shared" si="142"/>
        <v>30000</v>
      </c>
      <c r="H582" s="323">
        <f t="shared" si="142"/>
        <v>0</v>
      </c>
      <c r="I582" s="156">
        <f t="shared" si="142"/>
        <v>25000</v>
      </c>
      <c r="J582" s="156">
        <f t="shared" si="137"/>
        <v>83.333333333333343</v>
      </c>
    </row>
    <row r="583" spans="1:10">
      <c r="A583" s="131" t="s">
        <v>78</v>
      </c>
      <c r="B583" s="22" t="s">
        <v>366</v>
      </c>
      <c r="C583" s="22" t="s">
        <v>376</v>
      </c>
      <c r="D583" s="22" t="s">
        <v>431</v>
      </c>
      <c r="E583" s="22" t="s">
        <v>767</v>
      </c>
      <c r="F583" s="22" t="s">
        <v>79</v>
      </c>
      <c r="G583" s="156">
        <v>30000</v>
      </c>
      <c r="H583" s="323">
        <v>0</v>
      </c>
      <c r="I583" s="156">
        <f>30000-5000</f>
        <v>25000</v>
      </c>
      <c r="J583" s="156">
        <f t="shared" si="137"/>
        <v>83.333333333333343</v>
      </c>
    </row>
    <row r="584" spans="1:10">
      <c r="A584" s="133" t="s">
        <v>790</v>
      </c>
      <c r="B584" s="132" t="s">
        <v>366</v>
      </c>
      <c r="C584" s="132" t="s">
        <v>376</v>
      </c>
      <c r="D584" s="132" t="s">
        <v>431</v>
      </c>
      <c r="E584" s="132" t="s">
        <v>789</v>
      </c>
      <c r="F584" s="132"/>
      <c r="G584" s="196">
        <f t="shared" ref="G584:I585" si="143">G585</f>
        <v>5000</v>
      </c>
      <c r="H584" s="196">
        <f t="shared" si="143"/>
        <v>0</v>
      </c>
      <c r="I584" s="196">
        <f t="shared" si="143"/>
        <v>0</v>
      </c>
      <c r="J584" s="196">
        <f t="shared" si="137"/>
        <v>0</v>
      </c>
    </row>
    <row r="585" spans="1:10">
      <c r="A585" s="131" t="s">
        <v>486</v>
      </c>
      <c r="B585" s="22" t="s">
        <v>366</v>
      </c>
      <c r="C585" s="22" t="s">
        <v>376</v>
      </c>
      <c r="D585" s="22" t="s">
        <v>431</v>
      </c>
      <c r="E585" s="22" t="s">
        <v>789</v>
      </c>
      <c r="F585" s="22" t="s">
        <v>77</v>
      </c>
      <c r="G585" s="176">
        <f t="shared" si="143"/>
        <v>5000</v>
      </c>
      <c r="H585" s="176">
        <f t="shared" si="143"/>
        <v>0</v>
      </c>
      <c r="I585" s="176">
        <f t="shared" si="143"/>
        <v>0</v>
      </c>
      <c r="J585" s="176">
        <f t="shared" si="137"/>
        <v>0</v>
      </c>
    </row>
    <row r="586" spans="1:10">
      <c r="A586" s="131" t="s">
        <v>78</v>
      </c>
      <c r="B586" s="22" t="s">
        <v>366</v>
      </c>
      <c r="C586" s="22" t="s">
        <v>376</v>
      </c>
      <c r="D586" s="22" t="s">
        <v>431</v>
      </c>
      <c r="E586" s="22" t="s">
        <v>789</v>
      </c>
      <c r="F586" s="22" t="s">
        <v>79</v>
      </c>
      <c r="G586" s="176">
        <f>5000</f>
        <v>5000</v>
      </c>
      <c r="H586" s="323">
        <v>0</v>
      </c>
      <c r="I586" s="176">
        <f>5000-5000</f>
        <v>0</v>
      </c>
      <c r="J586" s="176">
        <f t="shared" si="137"/>
        <v>0</v>
      </c>
    </row>
    <row r="587" spans="1:10">
      <c r="A587" s="133" t="s">
        <v>336</v>
      </c>
      <c r="B587" s="132" t="s">
        <v>366</v>
      </c>
      <c r="C587" s="132" t="s">
        <v>376</v>
      </c>
      <c r="D587" s="132" t="s">
        <v>423</v>
      </c>
      <c r="E587" s="22"/>
      <c r="F587" s="22"/>
      <c r="G587" s="158">
        <f>G588</f>
        <v>218249.01699999999</v>
      </c>
      <c r="H587" s="158">
        <f>H588</f>
        <v>151163.19921000002</v>
      </c>
      <c r="I587" s="158">
        <f>I588</f>
        <v>208249.01699999999</v>
      </c>
      <c r="J587" s="158">
        <f t="shared" si="137"/>
        <v>95.418077873862771</v>
      </c>
    </row>
    <row r="588" spans="1:10" ht="27">
      <c r="A588" s="174" t="s">
        <v>674</v>
      </c>
      <c r="B588" s="144" t="s">
        <v>366</v>
      </c>
      <c r="C588" s="144" t="s">
        <v>376</v>
      </c>
      <c r="D588" s="144" t="s">
        <v>423</v>
      </c>
      <c r="E588" s="144" t="s">
        <v>243</v>
      </c>
      <c r="F588" s="144"/>
      <c r="G588" s="218">
        <f>G589+G592+G595</f>
        <v>218249.01699999999</v>
      </c>
      <c r="H588" s="218">
        <f>H589+H592+H595</f>
        <v>151163.19921000002</v>
      </c>
      <c r="I588" s="218">
        <f>I589+I592+I595</f>
        <v>208249.01699999999</v>
      </c>
      <c r="J588" s="218">
        <f t="shared" si="137"/>
        <v>95.418077873862771</v>
      </c>
    </row>
    <row r="589" spans="1:10">
      <c r="A589" s="229" t="s">
        <v>497</v>
      </c>
      <c r="B589" s="132" t="s">
        <v>366</v>
      </c>
      <c r="C589" s="132" t="s">
        <v>376</v>
      </c>
      <c r="D589" s="132" t="s">
        <v>423</v>
      </c>
      <c r="E589" s="132" t="s">
        <v>617</v>
      </c>
      <c r="F589" s="132"/>
      <c r="G589" s="158">
        <f t="shared" ref="G589:I590" si="144">G590</f>
        <v>17500</v>
      </c>
      <c r="H589" s="158">
        <f t="shared" si="144"/>
        <v>4631.4449999999997</v>
      </c>
      <c r="I589" s="158">
        <f t="shared" si="144"/>
        <v>17500</v>
      </c>
      <c r="J589" s="158">
        <f t="shared" si="137"/>
        <v>100</v>
      </c>
    </row>
    <row r="590" spans="1:10">
      <c r="A590" s="131" t="s">
        <v>486</v>
      </c>
      <c r="B590" s="22" t="s">
        <v>366</v>
      </c>
      <c r="C590" s="22" t="s">
        <v>376</v>
      </c>
      <c r="D590" s="22" t="s">
        <v>423</v>
      </c>
      <c r="E590" s="22" t="s">
        <v>617</v>
      </c>
      <c r="F590" s="22" t="s">
        <v>77</v>
      </c>
      <c r="G590" s="156">
        <f t="shared" si="144"/>
        <v>17500</v>
      </c>
      <c r="H590" s="156">
        <f t="shared" si="144"/>
        <v>4631.4449999999997</v>
      </c>
      <c r="I590" s="156">
        <f t="shared" si="144"/>
        <v>17500</v>
      </c>
      <c r="J590" s="156">
        <f t="shared" si="137"/>
        <v>100</v>
      </c>
    </row>
    <row r="591" spans="1:10">
      <c r="A591" s="131" t="s">
        <v>78</v>
      </c>
      <c r="B591" s="22" t="s">
        <v>366</v>
      </c>
      <c r="C591" s="22" t="s">
        <v>376</v>
      </c>
      <c r="D591" s="22" t="s">
        <v>423</v>
      </c>
      <c r="E591" s="22" t="s">
        <v>617</v>
      </c>
      <c r="F591" s="22" t="s">
        <v>79</v>
      </c>
      <c r="G591" s="156">
        <f>5000+7000+4500+1000</f>
        <v>17500</v>
      </c>
      <c r="H591" s="156">
        <v>4631.4449999999997</v>
      </c>
      <c r="I591" s="156">
        <f>5000+7000+4500+1000</f>
        <v>17500</v>
      </c>
      <c r="J591" s="156">
        <f t="shared" si="137"/>
        <v>100</v>
      </c>
    </row>
    <row r="592" spans="1:10">
      <c r="A592" s="133" t="s">
        <v>505</v>
      </c>
      <c r="B592" s="132" t="s">
        <v>366</v>
      </c>
      <c r="C592" s="132" t="s">
        <v>376</v>
      </c>
      <c r="D592" s="132" t="s">
        <v>423</v>
      </c>
      <c r="E592" s="132" t="s">
        <v>618</v>
      </c>
      <c r="F592" s="132"/>
      <c r="G592" s="158">
        <f t="shared" ref="G592:I593" si="145">G593</f>
        <v>200000</v>
      </c>
      <c r="H592" s="158">
        <f t="shared" si="145"/>
        <v>145990.06547</v>
      </c>
      <c r="I592" s="158">
        <f t="shared" si="145"/>
        <v>190000</v>
      </c>
      <c r="J592" s="158">
        <f t="shared" si="137"/>
        <v>95</v>
      </c>
    </row>
    <row r="593" spans="1:10">
      <c r="A593" s="131" t="s">
        <v>486</v>
      </c>
      <c r="B593" s="22" t="s">
        <v>366</v>
      </c>
      <c r="C593" s="22" t="s">
        <v>376</v>
      </c>
      <c r="D593" s="22" t="s">
        <v>423</v>
      </c>
      <c r="E593" s="22" t="s">
        <v>618</v>
      </c>
      <c r="F593" s="22" t="s">
        <v>77</v>
      </c>
      <c r="G593" s="156">
        <f t="shared" si="145"/>
        <v>200000</v>
      </c>
      <c r="H593" s="156">
        <f t="shared" si="145"/>
        <v>145990.06547</v>
      </c>
      <c r="I593" s="156">
        <f t="shared" si="145"/>
        <v>190000</v>
      </c>
      <c r="J593" s="156">
        <f t="shared" si="137"/>
        <v>95</v>
      </c>
    </row>
    <row r="594" spans="1:10">
      <c r="A594" s="131" t="s">
        <v>78</v>
      </c>
      <c r="B594" s="22" t="s">
        <v>366</v>
      </c>
      <c r="C594" s="22" t="s">
        <v>376</v>
      </c>
      <c r="D594" s="22" t="s">
        <v>423</v>
      </c>
      <c r="E594" s="22" t="s">
        <v>618</v>
      </c>
      <c r="F594" s="22" t="s">
        <v>79</v>
      </c>
      <c r="G594" s="156">
        <f>150000+50000</f>
        <v>200000</v>
      </c>
      <c r="H594" s="156">
        <v>145990.06547</v>
      </c>
      <c r="I594" s="156">
        <f>150000+50000-10000</f>
        <v>190000</v>
      </c>
      <c r="J594" s="156">
        <f t="shared" si="137"/>
        <v>95</v>
      </c>
    </row>
    <row r="595" spans="1:10">
      <c r="A595" s="229" t="s">
        <v>120</v>
      </c>
      <c r="B595" s="132" t="s">
        <v>366</v>
      </c>
      <c r="C595" s="132" t="s">
        <v>376</v>
      </c>
      <c r="D595" s="132" t="s">
        <v>423</v>
      </c>
      <c r="E595" s="132" t="s">
        <v>612</v>
      </c>
      <c r="F595" s="132"/>
      <c r="G595" s="158">
        <f t="shared" ref="G595:I596" si="146">G596</f>
        <v>749.01700000000005</v>
      </c>
      <c r="H595" s="158">
        <f t="shared" si="146"/>
        <v>541.68874000000005</v>
      </c>
      <c r="I595" s="158">
        <f t="shared" si="146"/>
        <v>749.01700000000005</v>
      </c>
      <c r="J595" s="158">
        <f t="shared" si="137"/>
        <v>100</v>
      </c>
    </row>
    <row r="596" spans="1:10">
      <c r="A596" s="131" t="s">
        <v>486</v>
      </c>
      <c r="B596" s="22" t="s">
        <v>366</v>
      </c>
      <c r="C596" s="22" t="s">
        <v>376</v>
      </c>
      <c r="D596" s="22" t="s">
        <v>423</v>
      </c>
      <c r="E596" s="22" t="s">
        <v>612</v>
      </c>
      <c r="F596" s="22" t="s">
        <v>77</v>
      </c>
      <c r="G596" s="156">
        <f t="shared" si="146"/>
        <v>749.01700000000005</v>
      </c>
      <c r="H596" s="156">
        <f t="shared" si="146"/>
        <v>541.68874000000005</v>
      </c>
      <c r="I596" s="156">
        <f t="shared" si="146"/>
        <v>749.01700000000005</v>
      </c>
      <c r="J596" s="156">
        <f t="shared" si="137"/>
        <v>100</v>
      </c>
    </row>
    <row r="597" spans="1:10">
      <c r="A597" s="131" t="s">
        <v>78</v>
      </c>
      <c r="B597" s="22" t="s">
        <v>366</v>
      </c>
      <c r="C597" s="22" t="s">
        <v>376</v>
      </c>
      <c r="D597" s="22" t="s">
        <v>423</v>
      </c>
      <c r="E597" s="22" t="s">
        <v>612</v>
      </c>
      <c r="F597" s="22" t="s">
        <v>79</v>
      </c>
      <c r="G597" s="156">
        <f>200+400+200-50.983</f>
        <v>749.01700000000005</v>
      </c>
      <c r="H597" s="156">
        <v>541.68874000000005</v>
      </c>
      <c r="I597" s="156">
        <f>200+400+200-50.983</f>
        <v>749.01700000000005</v>
      </c>
      <c r="J597" s="156">
        <f t="shared" si="137"/>
        <v>100</v>
      </c>
    </row>
    <row r="598" spans="1:10">
      <c r="A598" s="133" t="s">
        <v>337</v>
      </c>
      <c r="B598" s="132" t="s">
        <v>366</v>
      </c>
      <c r="C598" s="132" t="s">
        <v>376</v>
      </c>
      <c r="D598" s="132" t="s">
        <v>376</v>
      </c>
      <c r="E598" s="132"/>
      <c r="F598" s="132"/>
      <c r="G598" s="158">
        <f t="shared" ref="G598:I600" si="147">G599</f>
        <v>7340.1550299999999</v>
      </c>
      <c r="H598" s="158">
        <f t="shared" si="147"/>
        <v>6249.1739900000002</v>
      </c>
      <c r="I598" s="158">
        <f t="shared" si="147"/>
        <v>7340.1550299999999</v>
      </c>
      <c r="J598" s="158">
        <f t="shared" si="137"/>
        <v>100</v>
      </c>
    </row>
    <row r="599" spans="1:10" ht="24">
      <c r="A599" s="224" t="s">
        <v>364</v>
      </c>
      <c r="B599" s="140" t="s">
        <v>366</v>
      </c>
      <c r="C599" s="140" t="s">
        <v>376</v>
      </c>
      <c r="D599" s="140" t="s">
        <v>376</v>
      </c>
      <c r="E599" s="140"/>
      <c r="F599" s="140"/>
      <c r="G599" s="175">
        <f t="shared" si="147"/>
        <v>7340.1550299999999</v>
      </c>
      <c r="H599" s="175">
        <f t="shared" si="147"/>
        <v>6249.1739900000002</v>
      </c>
      <c r="I599" s="175">
        <f t="shared" si="147"/>
        <v>7340.1550299999999</v>
      </c>
      <c r="J599" s="175">
        <f t="shared" si="137"/>
        <v>100</v>
      </c>
    </row>
    <row r="600" spans="1:10">
      <c r="A600" s="173" t="s">
        <v>67</v>
      </c>
      <c r="B600" s="140" t="s">
        <v>366</v>
      </c>
      <c r="C600" s="140" t="s">
        <v>376</v>
      </c>
      <c r="D600" s="140" t="s">
        <v>376</v>
      </c>
      <c r="E600" s="140" t="s">
        <v>187</v>
      </c>
      <c r="F600" s="140"/>
      <c r="G600" s="175">
        <f t="shared" si="147"/>
        <v>7340.1550299999999</v>
      </c>
      <c r="H600" s="175">
        <f t="shared" si="147"/>
        <v>6249.1739900000002</v>
      </c>
      <c r="I600" s="175">
        <f t="shared" si="147"/>
        <v>7340.1550299999999</v>
      </c>
      <c r="J600" s="175">
        <f t="shared" si="137"/>
        <v>100</v>
      </c>
    </row>
    <row r="601" spans="1:10">
      <c r="A601" s="212" t="s">
        <v>272</v>
      </c>
      <c r="B601" s="132" t="s">
        <v>366</v>
      </c>
      <c r="C601" s="132" t="s">
        <v>376</v>
      </c>
      <c r="D601" s="132" t="s">
        <v>376</v>
      </c>
      <c r="E601" s="132" t="s">
        <v>188</v>
      </c>
      <c r="F601" s="22"/>
      <c r="G601" s="158">
        <f>G602+G605+G610+G613</f>
        <v>7340.1550299999999</v>
      </c>
      <c r="H601" s="158">
        <f>H602+H605+H610+H613</f>
        <v>6249.1739900000002</v>
      </c>
      <c r="I601" s="158">
        <f>I602+I605+I610+I613</f>
        <v>7340.1550299999999</v>
      </c>
      <c r="J601" s="158">
        <f t="shared" si="137"/>
        <v>100</v>
      </c>
    </row>
    <row r="602" spans="1:10">
      <c r="A602" s="212" t="s">
        <v>347</v>
      </c>
      <c r="B602" s="132" t="s">
        <v>366</v>
      </c>
      <c r="C602" s="132" t="s">
        <v>376</v>
      </c>
      <c r="D602" s="132" t="s">
        <v>376</v>
      </c>
      <c r="E602" s="132" t="s">
        <v>189</v>
      </c>
      <c r="F602" s="132"/>
      <c r="G602" s="158">
        <f t="shared" ref="G602:I603" si="148">G603</f>
        <v>5938</v>
      </c>
      <c r="H602" s="158">
        <f t="shared" si="148"/>
        <v>5037.94902</v>
      </c>
      <c r="I602" s="158">
        <f t="shared" si="148"/>
        <v>5938</v>
      </c>
      <c r="J602" s="158">
        <f t="shared" si="137"/>
        <v>100</v>
      </c>
    </row>
    <row r="603" spans="1:10" ht="36">
      <c r="A603" s="131" t="s">
        <v>72</v>
      </c>
      <c r="B603" s="22" t="s">
        <v>366</v>
      </c>
      <c r="C603" s="22" t="s">
        <v>376</v>
      </c>
      <c r="D603" s="22" t="s">
        <v>376</v>
      </c>
      <c r="E603" s="22" t="s">
        <v>189</v>
      </c>
      <c r="F603" s="22" t="s">
        <v>73</v>
      </c>
      <c r="G603" s="156">
        <f t="shared" si="148"/>
        <v>5938</v>
      </c>
      <c r="H603" s="156">
        <f t="shared" si="148"/>
        <v>5037.94902</v>
      </c>
      <c r="I603" s="156">
        <f t="shared" si="148"/>
        <v>5938</v>
      </c>
      <c r="J603" s="156">
        <f t="shared" si="137"/>
        <v>100</v>
      </c>
    </row>
    <row r="604" spans="1:10">
      <c r="A604" s="131" t="s">
        <v>74</v>
      </c>
      <c r="B604" s="22" t="s">
        <v>366</v>
      </c>
      <c r="C604" s="22" t="s">
        <v>376</v>
      </c>
      <c r="D604" s="22" t="s">
        <v>376</v>
      </c>
      <c r="E604" s="22" t="s">
        <v>189</v>
      </c>
      <c r="F604" s="22" t="s">
        <v>75</v>
      </c>
      <c r="G604" s="156">
        <f>5838+100</f>
        <v>5938</v>
      </c>
      <c r="H604" s="156">
        <v>5037.94902</v>
      </c>
      <c r="I604" s="156">
        <f>5838+100</f>
        <v>5938</v>
      </c>
      <c r="J604" s="156">
        <f t="shared" si="137"/>
        <v>100</v>
      </c>
    </row>
    <row r="605" spans="1:10">
      <c r="A605" s="133" t="s">
        <v>76</v>
      </c>
      <c r="B605" s="132" t="s">
        <v>366</v>
      </c>
      <c r="C605" s="132" t="s">
        <v>376</v>
      </c>
      <c r="D605" s="132" t="s">
        <v>376</v>
      </c>
      <c r="E605" s="132" t="s">
        <v>190</v>
      </c>
      <c r="F605" s="132"/>
      <c r="G605" s="158">
        <f>G606+G608</f>
        <v>1159.28306</v>
      </c>
      <c r="H605" s="158">
        <f>H606+H608</f>
        <v>968.35300000000007</v>
      </c>
      <c r="I605" s="158">
        <f>I606+I608</f>
        <v>1159.28306</v>
      </c>
      <c r="J605" s="158">
        <f t="shared" si="137"/>
        <v>100</v>
      </c>
    </row>
    <row r="606" spans="1:10">
      <c r="A606" s="131" t="s">
        <v>486</v>
      </c>
      <c r="B606" s="22" t="s">
        <v>366</v>
      </c>
      <c r="C606" s="22" t="s">
        <v>376</v>
      </c>
      <c r="D606" s="22" t="s">
        <v>376</v>
      </c>
      <c r="E606" s="22" t="s">
        <v>190</v>
      </c>
      <c r="F606" s="22" t="s">
        <v>77</v>
      </c>
      <c r="G606" s="156">
        <f>G607</f>
        <v>610</v>
      </c>
      <c r="H606" s="156">
        <f>H607</f>
        <v>487.82400000000001</v>
      </c>
      <c r="I606" s="156">
        <f>I607</f>
        <v>610</v>
      </c>
      <c r="J606" s="156">
        <f t="shared" si="137"/>
        <v>100</v>
      </c>
    </row>
    <row r="607" spans="1:10">
      <c r="A607" s="131" t="s">
        <v>78</v>
      </c>
      <c r="B607" s="22" t="s">
        <v>366</v>
      </c>
      <c r="C607" s="22" t="s">
        <v>376</v>
      </c>
      <c r="D607" s="22" t="s">
        <v>376</v>
      </c>
      <c r="E607" s="22" t="s">
        <v>190</v>
      </c>
      <c r="F607" s="22" t="s">
        <v>79</v>
      </c>
      <c r="G607" s="156">
        <f>610</f>
        <v>610</v>
      </c>
      <c r="H607" s="156">
        <v>487.82400000000001</v>
      </c>
      <c r="I607" s="156">
        <f>610</f>
        <v>610</v>
      </c>
      <c r="J607" s="156">
        <f t="shared" si="137"/>
        <v>100</v>
      </c>
    </row>
    <row r="608" spans="1:10">
      <c r="A608" s="131" t="s">
        <v>80</v>
      </c>
      <c r="B608" s="22" t="s">
        <v>366</v>
      </c>
      <c r="C608" s="22" t="s">
        <v>376</v>
      </c>
      <c r="D608" s="22" t="s">
        <v>376</v>
      </c>
      <c r="E608" s="22" t="s">
        <v>190</v>
      </c>
      <c r="F608" s="22" t="s">
        <v>81</v>
      </c>
      <c r="G608" s="156">
        <f>G609</f>
        <v>549.28305999999998</v>
      </c>
      <c r="H608" s="156">
        <f>H609</f>
        <v>480.529</v>
      </c>
      <c r="I608" s="156">
        <f>I609</f>
        <v>549.28305999999998</v>
      </c>
      <c r="J608" s="156">
        <f t="shared" si="137"/>
        <v>100</v>
      </c>
    </row>
    <row r="609" spans="1:10">
      <c r="A609" s="131" t="s">
        <v>445</v>
      </c>
      <c r="B609" s="22" t="s">
        <v>366</v>
      </c>
      <c r="C609" s="22" t="s">
        <v>376</v>
      </c>
      <c r="D609" s="22" t="s">
        <v>376</v>
      </c>
      <c r="E609" s="22" t="s">
        <v>190</v>
      </c>
      <c r="F609" s="22" t="s">
        <v>82</v>
      </c>
      <c r="G609" s="156">
        <f>75+474.28306</f>
        <v>549.28305999999998</v>
      </c>
      <c r="H609" s="156">
        <v>480.529</v>
      </c>
      <c r="I609" s="156">
        <f>75+474.28306</f>
        <v>549.28305999999998</v>
      </c>
      <c r="J609" s="156">
        <f t="shared" si="137"/>
        <v>100</v>
      </c>
    </row>
    <row r="610" spans="1:10" ht="24">
      <c r="A610" s="224" t="s">
        <v>720</v>
      </c>
      <c r="B610" s="140" t="s">
        <v>366</v>
      </c>
      <c r="C610" s="140" t="s">
        <v>376</v>
      </c>
      <c r="D610" s="140" t="s">
        <v>376</v>
      </c>
      <c r="E610" s="140" t="s">
        <v>721</v>
      </c>
      <c r="F610" s="140"/>
      <c r="G610" s="175">
        <f t="shared" ref="G610:I611" si="149">G611</f>
        <v>13.086970000000001</v>
      </c>
      <c r="H610" s="175">
        <f t="shared" si="149"/>
        <v>13.086970000000001</v>
      </c>
      <c r="I610" s="175">
        <f t="shared" si="149"/>
        <v>13.086970000000001</v>
      </c>
      <c r="J610" s="175">
        <f t="shared" si="137"/>
        <v>100</v>
      </c>
    </row>
    <row r="611" spans="1:10" ht="36">
      <c r="A611" s="131" t="s">
        <v>72</v>
      </c>
      <c r="B611" s="22" t="s">
        <v>366</v>
      </c>
      <c r="C611" s="22" t="s">
        <v>376</v>
      </c>
      <c r="D611" s="22" t="s">
        <v>376</v>
      </c>
      <c r="E611" s="22" t="s">
        <v>721</v>
      </c>
      <c r="F611" s="22" t="s">
        <v>73</v>
      </c>
      <c r="G611" s="156">
        <f t="shared" si="149"/>
        <v>13.086970000000001</v>
      </c>
      <c r="H611" s="156">
        <f t="shared" si="149"/>
        <v>13.086970000000001</v>
      </c>
      <c r="I611" s="156">
        <f t="shared" si="149"/>
        <v>13.086970000000001</v>
      </c>
      <c r="J611" s="156">
        <f t="shared" si="137"/>
        <v>100</v>
      </c>
    </row>
    <row r="612" spans="1:10">
      <c r="A612" s="131" t="s">
        <v>74</v>
      </c>
      <c r="B612" s="22" t="s">
        <v>366</v>
      </c>
      <c r="C612" s="22" t="s">
        <v>376</v>
      </c>
      <c r="D612" s="22" t="s">
        <v>376</v>
      </c>
      <c r="E612" s="22" t="s">
        <v>721</v>
      </c>
      <c r="F612" s="22" t="s">
        <v>75</v>
      </c>
      <c r="G612" s="156">
        <v>13.086970000000001</v>
      </c>
      <c r="H612" s="156">
        <v>13.086970000000001</v>
      </c>
      <c r="I612" s="156">
        <v>13.086970000000001</v>
      </c>
      <c r="J612" s="156">
        <f t="shared" si="137"/>
        <v>100</v>
      </c>
    </row>
    <row r="613" spans="1:10">
      <c r="A613" s="133" t="s">
        <v>774</v>
      </c>
      <c r="B613" s="132" t="s">
        <v>366</v>
      </c>
      <c r="C613" s="132" t="s">
        <v>376</v>
      </c>
      <c r="D613" s="132" t="s">
        <v>376</v>
      </c>
      <c r="E613" s="132" t="s">
        <v>769</v>
      </c>
      <c r="F613" s="132"/>
      <c r="G613" s="158">
        <f t="shared" ref="G613:I614" si="150">G614</f>
        <v>229.785</v>
      </c>
      <c r="H613" s="158">
        <f t="shared" si="150"/>
        <v>229.785</v>
      </c>
      <c r="I613" s="158">
        <f t="shared" si="150"/>
        <v>229.785</v>
      </c>
      <c r="J613" s="158">
        <f t="shared" si="137"/>
        <v>100</v>
      </c>
    </row>
    <row r="614" spans="1:10" ht="36">
      <c r="A614" s="131" t="s">
        <v>72</v>
      </c>
      <c r="B614" s="22" t="s">
        <v>366</v>
      </c>
      <c r="C614" s="22" t="s">
        <v>376</v>
      </c>
      <c r="D614" s="22" t="s">
        <v>376</v>
      </c>
      <c r="E614" s="22" t="s">
        <v>769</v>
      </c>
      <c r="F614" s="22" t="s">
        <v>73</v>
      </c>
      <c r="G614" s="156">
        <f t="shared" si="150"/>
        <v>229.785</v>
      </c>
      <c r="H614" s="156">
        <f t="shared" si="150"/>
        <v>229.785</v>
      </c>
      <c r="I614" s="156">
        <f t="shared" si="150"/>
        <v>229.785</v>
      </c>
      <c r="J614" s="156">
        <f t="shared" si="137"/>
        <v>100</v>
      </c>
    </row>
    <row r="615" spans="1:10">
      <c r="A615" s="131" t="s">
        <v>74</v>
      </c>
      <c r="B615" s="22" t="s">
        <v>366</v>
      </c>
      <c r="C615" s="22" t="s">
        <v>376</v>
      </c>
      <c r="D615" s="22" t="s">
        <v>376</v>
      </c>
      <c r="E615" s="22" t="s">
        <v>769</v>
      </c>
      <c r="F615" s="22" t="s">
        <v>75</v>
      </c>
      <c r="G615" s="156">
        <v>229.785</v>
      </c>
      <c r="H615" s="156">
        <v>229.785</v>
      </c>
      <c r="I615" s="156">
        <v>229.785</v>
      </c>
      <c r="J615" s="156">
        <f t="shared" si="137"/>
        <v>100</v>
      </c>
    </row>
    <row r="616" spans="1:10">
      <c r="A616" s="133" t="s">
        <v>338</v>
      </c>
      <c r="B616" s="132" t="s">
        <v>366</v>
      </c>
      <c r="C616" s="132" t="s">
        <v>430</v>
      </c>
      <c r="D616" s="132" t="s">
        <v>70</v>
      </c>
      <c r="E616" s="132"/>
      <c r="F616" s="132"/>
      <c r="G616" s="158">
        <f>G617+G622</f>
        <v>131572.42500000002</v>
      </c>
      <c r="H616" s="158">
        <f>H617+H622</f>
        <v>78462.393030000007</v>
      </c>
      <c r="I616" s="158">
        <f>I617+I622</f>
        <v>130172.42500000002</v>
      </c>
      <c r="J616" s="158">
        <f t="shared" si="137"/>
        <v>98.935947254905415</v>
      </c>
    </row>
    <row r="617" spans="1:10">
      <c r="A617" s="152" t="s">
        <v>339</v>
      </c>
      <c r="B617" s="132" t="s">
        <v>366</v>
      </c>
      <c r="C617" s="132" t="s">
        <v>430</v>
      </c>
      <c r="D617" s="132" t="s">
        <v>69</v>
      </c>
      <c r="E617" s="132"/>
      <c r="F617" s="132"/>
      <c r="G617" s="158">
        <f t="shared" ref="G617:I620" si="151">G618</f>
        <v>1000</v>
      </c>
      <c r="H617" s="324">
        <f t="shared" si="151"/>
        <v>0</v>
      </c>
      <c r="I617" s="158">
        <f t="shared" si="151"/>
        <v>1000</v>
      </c>
      <c r="J617" s="158">
        <f t="shared" si="137"/>
        <v>100</v>
      </c>
    </row>
    <row r="618" spans="1:10" ht="27">
      <c r="A618" s="174" t="s">
        <v>674</v>
      </c>
      <c r="B618" s="144" t="s">
        <v>366</v>
      </c>
      <c r="C618" s="144" t="s">
        <v>430</v>
      </c>
      <c r="D618" s="144" t="s">
        <v>69</v>
      </c>
      <c r="E618" s="144" t="s">
        <v>243</v>
      </c>
      <c r="F618" s="144"/>
      <c r="G618" s="218">
        <f t="shared" si="151"/>
        <v>1000</v>
      </c>
      <c r="H618" s="327">
        <f t="shared" si="151"/>
        <v>0</v>
      </c>
      <c r="I618" s="218">
        <f t="shared" si="151"/>
        <v>1000</v>
      </c>
      <c r="J618" s="218">
        <f t="shared" si="137"/>
        <v>100</v>
      </c>
    </row>
    <row r="619" spans="1:10" ht="36">
      <c r="A619" s="133" t="s">
        <v>36</v>
      </c>
      <c r="B619" s="132" t="s">
        <v>366</v>
      </c>
      <c r="C619" s="132" t="s">
        <v>430</v>
      </c>
      <c r="D619" s="132" t="s">
        <v>69</v>
      </c>
      <c r="E619" s="132" t="s">
        <v>496</v>
      </c>
      <c r="F619" s="132"/>
      <c r="G619" s="158">
        <f t="shared" si="151"/>
        <v>1000</v>
      </c>
      <c r="H619" s="324">
        <f t="shared" si="151"/>
        <v>0</v>
      </c>
      <c r="I619" s="158">
        <f t="shared" si="151"/>
        <v>1000</v>
      </c>
      <c r="J619" s="158">
        <f t="shared" si="137"/>
        <v>100</v>
      </c>
    </row>
    <row r="620" spans="1:10">
      <c r="A620" s="131" t="s">
        <v>486</v>
      </c>
      <c r="B620" s="22" t="s">
        <v>366</v>
      </c>
      <c r="C620" s="22" t="s">
        <v>430</v>
      </c>
      <c r="D620" s="22" t="s">
        <v>69</v>
      </c>
      <c r="E620" s="22" t="s">
        <v>496</v>
      </c>
      <c r="F620" s="22" t="s">
        <v>77</v>
      </c>
      <c r="G620" s="156">
        <f t="shared" si="151"/>
        <v>1000</v>
      </c>
      <c r="H620" s="323">
        <f t="shared" si="151"/>
        <v>0</v>
      </c>
      <c r="I620" s="156">
        <f t="shared" si="151"/>
        <v>1000</v>
      </c>
      <c r="J620" s="156">
        <f t="shared" si="137"/>
        <v>100</v>
      </c>
    </row>
    <row r="621" spans="1:10">
      <c r="A621" s="131" t="s">
        <v>78</v>
      </c>
      <c r="B621" s="22" t="s">
        <v>366</v>
      </c>
      <c r="C621" s="22" t="s">
        <v>430</v>
      </c>
      <c r="D621" s="22" t="s">
        <v>69</v>
      </c>
      <c r="E621" s="22" t="s">
        <v>496</v>
      </c>
      <c r="F621" s="22" t="s">
        <v>79</v>
      </c>
      <c r="G621" s="156">
        <f>500+500</f>
        <v>1000</v>
      </c>
      <c r="H621" s="323">
        <v>0</v>
      </c>
      <c r="I621" s="156">
        <f>500+500</f>
        <v>1000</v>
      </c>
      <c r="J621" s="156">
        <f t="shared" si="137"/>
        <v>100</v>
      </c>
    </row>
    <row r="622" spans="1:10">
      <c r="A622" s="133" t="s">
        <v>341</v>
      </c>
      <c r="B622" s="132" t="s">
        <v>366</v>
      </c>
      <c r="C622" s="132" t="s">
        <v>430</v>
      </c>
      <c r="D622" s="132" t="s">
        <v>424</v>
      </c>
      <c r="E622" s="22"/>
      <c r="F622" s="132"/>
      <c r="G622" s="158">
        <f>G623</f>
        <v>130572.42500000002</v>
      </c>
      <c r="H622" s="158">
        <f>H623</f>
        <v>78462.393030000007</v>
      </c>
      <c r="I622" s="158">
        <f>I623</f>
        <v>129172.42500000002</v>
      </c>
      <c r="J622" s="158">
        <f t="shared" si="137"/>
        <v>98.927798116639096</v>
      </c>
    </row>
    <row r="623" spans="1:10" s="219" customFormat="1" ht="27">
      <c r="A623" s="174" t="s">
        <v>674</v>
      </c>
      <c r="B623" s="144" t="s">
        <v>366</v>
      </c>
      <c r="C623" s="144" t="s">
        <v>430</v>
      </c>
      <c r="D623" s="144" t="s">
        <v>424</v>
      </c>
      <c r="E623" s="144" t="s">
        <v>243</v>
      </c>
      <c r="F623" s="144"/>
      <c r="G623" s="218">
        <f>G624+G627+G630+G633</f>
        <v>130572.42500000002</v>
      </c>
      <c r="H623" s="218">
        <f t="shared" ref="H623:I623" si="152">H624+H627+H630+H633</f>
        <v>78462.393030000007</v>
      </c>
      <c r="I623" s="218">
        <f t="shared" si="152"/>
        <v>129172.42500000002</v>
      </c>
      <c r="J623" s="218">
        <f t="shared" si="137"/>
        <v>98.927798116639096</v>
      </c>
    </row>
    <row r="624" spans="1:10" s="219" customFormat="1">
      <c r="A624" s="229" t="s">
        <v>151</v>
      </c>
      <c r="B624" s="132" t="s">
        <v>366</v>
      </c>
      <c r="C624" s="132" t="s">
        <v>430</v>
      </c>
      <c r="D624" s="132" t="s">
        <v>424</v>
      </c>
      <c r="E624" s="243" t="s">
        <v>619</v>
      </c>
      <c r="F624" s="132"/>
      <c r="G624" s="158">
        <f t="shared" ref="G624:I625" si="153">G625</f>
        <v>86225.119000000006</v>
      </c>
      <c r="H624" s="158">
        <f t="shared" si="153"/>
        <v>55345.522819999998</v>
      </c>
      <c r="I624" s="158">
        <f t="shared" si="153"/>
        <v>84825.119000000006</v>
      </c>
      <c r="J624" s="158">
        <f t="shared" ref="J624:J674" si="154">I624/G624*100</f>
        <v>98.376343209221901</v>
      </c>
    </row>
    <row r="625" spans="1:10" s="219" customFormat="1">
      <c r="A625" s="131" t="s">
        <v>486</v>
      </c>
      <c r="B625" s="22" t="s">
        <v>366</v>
      </c>
      <c r="C625" s="22" t="s">
        <v>430</v>
      </c>
      <c r="D625" s="22" t="s">
        <v>424</v>
      </c>
      <c r="E625" s="244" t="s">
        <v>619</v>
      </c>
      <c r="F625" s="22" t="s">
        <v>77</v>
      </c>
      <c r="G625" s="156">
        <f t="shared" si="153"/>
        <v>86225.119000000006</v>
      </c>
      <c r="H625" s="156">
        <f t="shared" si="153"/>
        <v>55345.522819999998</v>
      </c>
      <c r="I625" s="156">
        <f t="shared" si="153"/>
        <v>84825.119000000006</v>
      </c>
      <c r="J625" s="156">
        <f t="shared" si="154"/>
        <v>98.376343209221901</v>
      </c>
    </row>
    <row r="626" spans="1:10" s="219" customFormat="1">
      <c r="A626" s="131" t="s">
        <v>78</v>
      </c>
      <c r="B626" s="22" t="s">
        <v>366</v>
      </c>
      <c r="C626" s="22" t="s">
        <v>430</v>
      </c>
      <c r="D626" s="22" t="s">
        <v>424</v>
      </c>
      <c r="E626" s="244" t="s">
        <v>619</v>
      </c>
      <c r="F626" s="22" t="s">
        <v>79</v>
      </c>
      <c r="G626" s="156">
        <f>25000+16000+15250+2717.575+11773.091+477.323+5000-1192.87+11200</f>
        <v>86225.119000000006</v>
      </c>
      <c r="H626" s="156">
        <v>55345.522819999998</v>
      </c>
      <c r="I626" s="156">
        <f>25000+16000+15250+2717.575+11773.091+477.323+5000-1192.87+11200-1400</f>
        <v>84825.119000000006</v>
      </c>
      <c r="J626" s="156">
        <f t="shared" si="154"/>
        <v>98.376343209221901</v>
      </c>
    </row>
    <row r="627" spans="1:10" s="219" customFormat="1">
      <c r="A627" s="133" t="s">
        <v>620</v>
      </c>
      <c r="B627" s="132" t="s">
        <v>366</v>
      </c>
      <c r="C627" s="132" t="s">
        <v>430</v>
      </c>
      <c r="D627" s="132" t="s">
        <v>424</v>
      </c>
      <c r="E627" s="243" t="s">
        <v>621</v>
      </c>
      <c r="F627" s="132"/>
      <c r="G627" s="158">
        <f t="shared" ref="G627:I628" si="155">G628</f>
        <v>32000</v>
      </c>
      <c r="H627" s="158">
        <f t="shared" si="155"/>
        <v>20740.951000000001</v>
      </c>
      <c r="I627" s="158">
        <f t="shared" si="155"/>
        <v>32000</v>
      </c>
      <c r="J627" s="158">
        <f t="shared" si="154"/>
        <v>100</v>
      </c>
    </row>
    <row r="628" spans="1:10" s="219" customFormat="1">
      <c r="A628" s="131" t="s">
        <v>486</v>
      </c>
      <c r="B628" s="22" t="s">
        <v>366</v>
      </c>
      <c r="C628" s="22" t="s">
        <v>430</v>
      </c>
      <c r="D628" s="22" t="s">
        <v>424</v>
      </c>
      <c r="E628" s="22" t="s">
        <v>621</v>
      </c>
      <c r="F628" s="22" t="s">
        <v>77</v>
      </c>
      <c r="G628" s="156">
        <f t="shared" si="155"/>
        <v>32000</v>
      </c>
      <c r="H628" s="156">
        <f t="shared" si="155"/>
        <v>20740.951000000001</v>
      </c>
      <c r="I628" s="156">
        <f t="shared" si="155"/>
        <v>32000</v>
      </c>
      <c r="J628" s="156">
        <f t="shared" si="154"/>
        <v>100</v>
      </c>
    </row>
    <row r="629" spans="1:10" s="219" customFormat="1">
      <c r="A629" s="131" t="s">
        <v>78</v>
      </c>
      <c r="B629" s="22" t="s">
        <v>366</v>
      </c>
      <c r="C629" s="22" t="s">
        <v>430</v>
      </c>
      <c r="D629" s="22" t="s">
        <v>424</v>
      </c>
      <c r="E629" s="22" t="s">
        <v>621</v>
      </c>
      <c r="F629" s="22" t="s">
        <v>79</v>
      </c>
      <c r="G629" s="156">
        <v>32000</v>
      </c>
      <c r="H629" s="156">
        <v>20740.951000000001</v>
      </c>
      <c r="I629" s="156">
        <v>32000</v>
      </c>
      <c r="J629" s="156">
        <f t="shared" si="154"/>
        <v>100</v>
      </c>
    </row>
    <row r="630" spans="1:10" s="219" customFormat="1">
      <c r="A630" s="229" t="s">
        <v>120</v>
      </c>
      <c r="B630" s="132" t="s">
        <v>366</v>
      </c>
      <c r="C630" s="132" t="s">
        <v>430</v>
      </c>
      <c r="D630" s="132" t="s">
        <v>424</v>
      </c>
      <c r="E630" s="132" t="s">
        <v>612</v>
      </c>
      <c r="F630" s="132"/>
      <c r="G630" s="158">
        <f>G631</f>
        <v>2409.7060000000001</v>
      </c>
      <c r="H630" s="158">
        <f t="shared" ref="H630:I630" si="156">H631</f>
        <v>2375.91921</v>
      </c>
      <c r="I630" s="158">
        <f t="shared" si="156"/>
        <v>2409.7060000000001</v>
      </c>
      <c r="J630" s="158">
        <f t="shared" si="154"/>
        <v>100</v>
      </c>
    </row>
    <row r="631" spans="1:10" s="208" customFormat="1">
      <c r="A631" s="131" t="s">
        <v>486</v>
      </c>
      <c r="B631" s="22" t="s">
        <v>366</v>
      </c>
      <c r="C631" s="22" t="s">
        <v>430</v>
      </c>
      <c r="D631" s="22" t="s">
        <v>424</v>
      </c>
      <c r="E631" s="22" t="s">
        <v>612</v>
      </c>
      <c r="F631" s="22" t="s">
        <v>77</v>
      </c>
      <c r="G631" s="156">
        <f>G632</f>
        <v>2409.7060000000001</v>
      </c>
      <c r="H631" s="156">
        <f>H632</f>
        <v>2375.91921</v>
      </c>
      <c r="I631" s="156">
        <f>I632</f>
        <v>2409.7060000000001</v>
      </c>
      <c r="J631" s="156">
        <f t="shared" si="154"/>
        <v>100</v>
      </c>
    </row>
    <row r="632" spans="1:10" s="208" customFormat="1">
      <c r="A632" s="131" t="s">
        <v>78</v>
      </c>
      <c r="B632" s="22" t="s">
        <v>366</v>
      </c>
      <c r="C632" s="22" t="s">
        <v>430</v>
      </c>
      <c r="D632" s="22" t="s">
        <v>424</v>
      </c>
      <c r="E632" s="22" t="s">
        <v>612</v>
      </c>
      <c r="F632" s="22" t="s">
        <v>79</v>
      </c>
      <c r="G632" s="156">
        <f>700+500+209.706+500+500</f>
        <v>2409.7060000000001</v>
      </c>
      <c r="H632" s="156">
        <v>2375.91921</v>
      </c>
      <c r="I632" s="156">
        <f>700+500+209.706+500+500</f>
        <v>2409.7060000000001</v>
      </c>
      <c r="J632" s="156">
        <f t="shared" si="154"/>
        <v>100</v>
      </c>
    </row>
    <row r="633" spans="1:10" s="208" customFormat="1" ht="24">
      <c r="A633" s="133" t="s">
        <v>756</v>
      </c>
      <c r="B633" s="132" t="s">
        <v>366</v>
      </c>
      <c r="C633" s="132" t="s">
        <v>430</v>
      </c>
      <c r="D633" s="132" t="s">
        <v>424</v>
      </c>
      <c r="E633" s="59" t="s">
        <v>757</v>
      </c>
      <c r="F633" s="132"/>
      <c r="G633" s="158">
        <f>G634</f>
        <v>9937.6</v>
      </c>
      <c r="H633" s="324">
        <f t="shared" ref="H633:I634" si="157">H634</f>
        <v>0</v>
      </c>
      <c r="I633" s="158">
        <f t="shared" si="157"/>
        <v>9937.6</v>
      </c>
      <c r="J633" s="158">
        <f t="shared" si="154"/>
        <v>100</v>
      </c>
    </row>
    <row r="634" spans="1:10" s="208" customFormat="1">
      <c r="A634" s="131" t="s">
        <v>676</v>
      </c>
      <c r="B634" s="22" t="s">
        <v>366</v>
      </c>
      <c r="C634" s="22" t="s">
        <v>430</v>
      </c>
      <c r="D634" s="22" t="s">
        <v>424</v>
      </c>
      <c r="E634" s="66" t="s">
        <v>757</v>
      </c>
      <c r="F634" s="22" t="s">
        <v>77</v>
      </c>
      <c r="G634" s="156">
        <f>G635</f>
        <v>9937.6</v>
      </c>
      <c r="H634" s="323">
        <f t="shared" si="157"/>
        <v>0</v>
      </c>
      <c r="I634" s="156">
        <f t="shared" si="157"/>
        <v>9937.6</v>
      </c>
      <c r="J634" s="156">
        <f t="shared" si="154"/>
        <v>100</v>
      </c>
    </row>
    <row r="635" spans="1:10" s="208" customFormat="1">
      <c r="A635" s="131" t="s">
        <v>78</v>
      </c>
      <c r="B635" s="22" t="s">
        <v>366</v>
      </c>
      <c r="C635" s="22" t="s">
        <v>430</v>
      </c>
      <c r="D635" s="22" t="s">
        <v>424</v>
      </c>
      <c r="E635" s="66" t="s">
        <v>757</v>
      </c>
      <c r="F635" s="22" t="s">
        <v>79</v>
      </c>
      <c r="G635" s="156">
        <v>9937.6</v>
      </c>
      <c r="H635" s="323">
        <v>0</v>
      </c>
      <c r="I635" s="156">
        <v>9937.6</v>
      </c>
      <c r="J635" s="156">
        <f t="shared" si="154"/>
        <v>100</v>
      </c>
    </row>
    <row r="636" spans="1:10" s="208" customFormat="1">
      <c r="A636" s="133" t="s">
        <v>585</v>
      </c>
      <c r="B636" s="132" t="s">
        <v>366</v>
      </c>
      <c r="C636" s="132" t="s">
        <v>428</v>
      </c>
      <c r="D636" s="132" t="s">
        <v>70</v>
      </c>
      <c r="E636" s="132"/>
      <c r="F636" s="132"/>
      <c r="G636" s="158">
        <f t="shared" ref="G636:I637" si="158">G637</f>
        <v>1924.9384500000001</v>
      </c>
      <c r="H636" s="158">
        <f t="shared" si="158"/>
        <v>765.02</v>
      </c>
      <c r="I636" s="158">
        <f t="shared" si="158"/>
        <v>1924.9384500000001</v>
      </c>
      <c r="J636" s="158">
        <f t="shared" si="154"/>
        <v>100</v>
      </c>
    </row>
    <row r="637" spans="1:10" s="208" customFormat="1">
      <c r="A637" s="133" t="s">
        <v>408</v>
      </c>
      <c r="B637" s="132" t="s">
        <v>366</v>
      </c>
      <c r="C637" s="132" t="s">
        <v>428</v>
      </c>
      <c r="D637" s="132" t="s">
        <v>71</v>
      </c>
      <c r="E637" s="132"/>
      <c r="F637" s="132"/>
      <c r="G637" s="158">
        <f t="shared" si="158"/>
        <v>1924.9384500000001</v>
      </c>
      <c r="H637" s="158">
        <f t="shared" si="158"/>
        <v>765.02</v>
      </c>
      <c r="I637" s="158">
        <f t="shared" si="158"/>
        <v>1924.9384500000001</v>
      </c>
      <c r="J637" s="158">
        <f t="shared" si="154"/>
        <v>100</v>
      </c>
    </row>
    <row r="638" spans="1:10" s="208" customFormat="1" ht="27">
      <c r="A638" s="174" t="s">
        <v>674</v>
      </c>
      <c r="B638" s="144" t="s">
        <v>366</v>
      </c>
      <c r="C638" s="144" t="s">
        <v>428</v>
      </c>
      <c r="D638" s="144" t="s">
        <v>71</v>
      </c>
      <c r="E638" s="144" t="s">
        <v>243</v>
      </c>
      <c r="F638" s="144"/>
      <c r="G638" s="218">
        <f>G639+G642+G645</f>
        <v>1924.9384500000001</v>
      </c>
      <c r="H638" s="218">
        <f>H639+H642+H645</f>
        <v>765.02</v>
      </c>
      <c r="I638" s="218">
        <f>I639+I642+I645</f>
        <v>1924.9384500000001</v>
      </c>
      <c r="J638" s="218">
        <f t="shared" si="154"/>
        <v>100</v>
      </c>
    </row>
    <row r="639" spans="1:10" s="208" customFormat="1">
      <c r="A639" s="229" t="s">
        <v>120</v>
      </c>
      <c r="B639" s="132" t="s">
        <v>366</v>
      </c>
      <c r="C639" s="132" t="s">
        <v>428</v>
      </c>
      <c r="D639" s="132" t="s">
        <v>71</v>
      </c>
      <c r="E639" s="132" t="s">
        <v>612</v>
      </c>
      <c r="F639" s="132"/>
      <c r="G639" s="158">
        <f t="shared" ref="G639:I640" si="159">G640</f>
        <v>600</v>
      </c>
      <c r="H639" s="324">
        <f t="shared" si="159"/>
        <v>0</v>
      </c>
      <c r="I639" s="158">
        <f t="shared" si="159"/>
        <v>600</v>
      </c>
      <c r="J639" s="158">
        <f t="shared" si="154"/>
        <v>100</v>
      </c>
    </row>
    <row r="640" spans="1:10" s="208" customFormat="1">
      <c r="A640" s="131" t="s">
        <v>486</v>
      </c>
      <c r="B640" s="22" t="s">
        <v>366</v>
      </c>
      <c r="C640" s="22" t="s">
        <v>428</v>
      </c>
      <c r="D640" s="22" t="s">
        <v>71</v>
      </c>
      <c r="E640" s="22" t="s">
        <v>612</v>
      </c>
      <c r="F640" s="22" t="s">
        <v>77</v>
      </c>
      <c r="G640" s="156">
        <f t="shared" si="159"/>
        <v>600</v>
      </c>
      <c r="H640" s="323">
        <f t="shared" si="159"/>
        <v>0</v>
      </c>
      <c r="I640" s="156">
        <f t="shared" si="159"/>
        <v>600</v>
      </c>
      <c r="J640" s="156">
        <f t="shared" si="154"/>
        <v>100</v>
      </c>
    </row>
    <row r="641" spans="1:10" s="208" customFormat="1">
      <c r="A641" s="131" t="s">
        <v>78</v>
      </c>
      <c r="B641" s="22" t="s">
        <v>366</v>
      </c>
      <c r="C641" s="22" t="s">
        <v>428</v>
      </c>
      <c r="D641" s="22" t="s">
        <v>71</v>
      </c>
      <c r="E641" s="22" t="s">
        <v>612</v>
      </c>
      <c r="F641" s="22" t="s">
        <v>79</v>
      </c>
      <c r="G641" s="156">
        <v>600</v>
      </c>
      <c r="H641" s="323">
        <v>0</v>
      </c>
      <c r="I641" s="156">
        <v>600</v>
      </c>
      <c r="J641" s="156">
        <f t="shared" si="154"/>
        <v>100</v>
      </c>
    </row>
    <row r="642" spans="1:10" s="208" customFormat="1">
      <c r="A642" s="133" t="s">
        <v>733</v>
      </c>
      <c r="B642" s="132" t="s">
        <v>366</v>
      </c>
      <c r="C642" s="132" t="s">
        <v>428</v>
      </c>
      <c r="D642" s="132" t="s">
        <v>71</v>
      </c>
      <c r="E642" s="132" t="s">
        <v>734</v>
      </c>
      <c r="F642" s="132"/>
      <c r="G642" s="158">
        <f t="shared" ref="G642:I643" si="160">G643</f>
        <v>559.91845000000012</v>
      </c>
      <c r="H642" s="324">
        <f t="shared" si="160"/>
        <v>0</v>
      </c>
      <c r="I642" s="158">
        <f t="shared" si="160"/>
        <v>559.91845000000012</v>
      </c>
      <c r="J642" s="158">
        <f t="shared" si="154"/>
        <v>100</v>
      </c>
    </row>
    <row r="643" spans="1:10" s="208" customFormat="1">
      <c r="A643" s="131" t="s">
        <v>486</v>
      </c>
      <c r="B643" s="22" t="s">
        <v>366</v>
      </c>
      <c r="C643" s="22" t="s">
        <v>428</v>
      </c>
      <c r="D643" s="22" t="s">
        <v>71</v>
      </c>
      <c r="E643" s="22" t="s">
        <v>734</v>
      </c>
      <c r="F643" s="22" t="s">
        <v>77</v>
      </c>
      <c r="G643" s="156">
        <f t="shared" si="160"/>
        <v>559.91845000000012</v>
      </c>
      <c r="H643" s="323">
        <f t="shared" si="160"/>
        <v>0</v>
      </c>
      <c r="I643" s="156">
        <f t="shared" si="160"/>
        <v>559.91845000000012</v>
      </c>
      <c r="J643" s="156">
        <f t="shared" si="154"/>
        <v>100</v>
      </c>
    </row>
    <row r="644" spans="1:10" s="208" customFormat="1">
      <c r="A644" s="131" t="s">
        <v>78</v>
      </c>
      <c r="B644" s="22" t="s">
        <v>366</v>
      </c>
      <c r="C644" s="22" t="s">
        <v>428</v>
      </c>
      <c r="D644" s="22" t="s">
        <v>71</v>
      </c>
      <c r="E644" s="22" t="s">
        <v>734</v>
      </c>
      <c r="F644" s="22" t="s">
        <v>79</v>
      </c>
      <c r="G644" s="156">
        <f>5000-600-3790.08155-50</f>
        <v>559.91845000000012</v>
      </c>
      <c r="H644" s="323">
        <v>0</v>
      </c>
      <c r="I644" s="156">
        <f>5000-600-3790.08155-50</f>
        <v>559.91845000000012</v>
      </c>
      <c r="J644" s="156">
        <f t="shared" si="154"/>
        <v>100</v>
      </c>
    </row>
    <row r="645" spans="1:10" s="208" customFormat="1">
      <c r="A645" s="133" t="s">
        <v>764</v>
      </c>
      <c r="B645" s="132" t="s">
        <v>366</v>
      </c>
      <c r="C645" s="132" t="s">
        <v>428</v>
      </c>
      <c r="D645" s="132" t="s">
        <v>71</v>
      </c>
      <c r="E645" s="132" t="s">
        <v>765</v>
      </c>
      <c r="F645" s="132"/>
      <c r="G645" s="158">
        <f t="shared" ref="G645:I646" si="161">G646</f>
        <v>765.02</v>
      </c>
      <c r="H645" s="158">
        <f t="shared" si="161"/>
        <v>765.02</v>
      </c>
      <c r="I645" s="158">
        <f t="shared" si="161"/>
        <v>765.02</v>
      </c>
      <c r="J645" s="158">
        <f t="shared" si="154"/>
        <v>100</v>
      </c>
    </row>
    <row r="646" spans="1:10" s="208" customFormat="1">
      <c r="A646" s="131" t="s">
        <v>486</v>
      </c>
      <c r="B646" s="22" t="s">
        <v>366</v>
      </c>
      <c r="C646" s="22" t="s">
        <v>428</v>
      </c>
      <c r="D646" s="22" t="s">
        <v>71</v>
      </c>
      <c r="E646" s="22" t="s">
        <v>765</v>
      </c>
      <c r="F646" s="22" t="s">
        <v>77</v>
      </c>
      <c r="G646" s="156">
        <f t="shared" si="161"/>
        <v>765.02</v>
      </c>
      <c r="H646" s="156">
        <f t="shared" si="161"/>
        <v>765.02</v>
      </c>
      <c r="I646" s="156">
        <f t="shared" si="161"/>
        <v>765.02</v>
      </c>
      <c r="J646" s="156">
        <f t="shared" si="154"/>
        <v>100</v>
      </c>
    </row>
    <row r="647" spans="1:10" s="208" customFormat="1">
      <c r="A647" s="131" t="s">
        <v>78</v>
      </c>
      <c r="B647" s="22" t="s">
        <v>366</v>
      </c>
      <c r="C647" s="22" t="s">
        <v>428</v>
      </c>
      <c r="D647" s="22" t="s">
        <v>71</v>
      </c>
      <c r="E647" s="22" t="s">
        <v>765</v>
      </c>
      <c r="F647" s="22" t="s">
        <v>79</v>
      </c>
      <c r="G647" s="156">
        <v>765.02</v>
      </c>
      <c r="H647" s="156">
        <v>765.02</v>
      </c>
      <c r="I647" s="156">
        <v>765.02</v>
      </c>
      <c r="J647" s="156">
        <f t="shared" si="154"/>
        <v>100</v>
      </c>
    </row>
    <row r="648" spans="1:10" s="208" customFormat="1">
      <c r="A648" s="133" t="s">
        <v>353</v>
      </c>
      <c r="B648" s="132" t="s">
        <v>366</v>
      </c>
      <c r="C648" s="132" t="s">
        <v>83</v>
      </c>
      <c r="D648" s="132" t="s">
        <v>70</v>
      </c>
      <c r="E648" s="132"/>
      <c r="F648" s="132"/>
      <c r="G648" s="158">
        <f>G649</f>
        <v>50</v>
      </c>
      <c r="H648" s="324">
        <f t="shared" ref="H648:I648" si="162">H649</f>
        <v>0</v>
      </c>
      <c r="I648" s="158">
        <f t="shared" si="162"/>
        <v>50</v>
      </c>
      <c r="J648" s="158">
        <f t="shared" si="154"/>
        <v>100</v>
      </c>
    </row>
    <row r="649" spans="1:10" s="208" customFormat="1">
      <c r="A649" s="133" t="s">
        <v>735</v>
      </c>
      <c r="B649" s="132" t="s">
        <v>366</v>
      </c>
      <c r="C649" s="132" t="s">
        <v>83</v>
      </c>
      <c r="D649" s="132" t="s">
        <v>69</v>
      </c>
      <c r="E649" s="132"/>
      <c r="F649" s="132"/>
      <c r="G649" s="158">
        <f t="shared" ref="G649:I652" si="163">G650</f>
        <v>50</v>
      </c>
      <c r="H649" s="324">
        <f t="shared" si="163"/>
        <v>0</v>
      </c>
      <c r="I649" s="158">
        <f t="shared" si="163"/>
        <v>50</v>
      </c>
      <c r="J649" s="158">
        <f t="shared" si="154"/>
        <v>100</v>
      </c>
    </row>
    <row r="650" spans="1:10" s="208" customFormat="1" ht="27">
      <c r="A650" s="174" t="s">
        <v>674</v>
      </c>
      <c r="B650" s="144" t="s">
        <v>366</v>
      </c>
      <c r="C650" s="144" t="s">
        <v>83</v>
      </c>
      <c r="D650" s="144" t="s">
        <v>69</v>
      </c>
      <c r="E650" s="144" t="s">
        <v>243</v>
      </c>
      <c r="F650" s="144"/>
      <c r="G650" s="218">
        <f t="shared" si="163"/>
        <v>50</v>
      </c>
      <c r="H650" s="327">
        <f t="shared" si="163"/>
        <v>0</v>
      </c>
      <c r="I650" s="218">
        <f t="shared" si="163"/>
        <v>50</v>
      </c>
      <c r="J650" s="218">
        <f t="shared" si="154"/>
        <v>100</v>
      </c>
    </row>
    <row r="651" spans="1:10" s="208" customFormat="1">
      <c r="A651" s="229" t="s">
        <v>120</v>
      </c>
      <c r="B651" s="132" t="s">
        <v>366</v>
      </c>
      <c r="C651" s="132" t="s">
        <v>83</v>
      </c>
      <c r="D651" s="132" t="s">
        <v>69</v>
      </c>
      <c r="E651" s="132" t="s">
        <v>612</v>
      </c>
      <c r="F651" s="132"/>
      <c r="G651" s="158">
        <f t="shared" si="163"/>
        <v>50</v>
      </c>
      <c r="H651" s="324">
        <f t="shared" si="163"/>
        <v>0</v>
      </c>
      <c r="I651" s="158">
        <f t="shared" si="163"/>
        <v>50</v>
      </c>
      <c r="J651" s="158">
        <f t="shared" si="154"/>
        <v>100</v>
      </c>
    </row>
    <row r="652" spans="1:10" s="208" customFormat="1">
      <c r="A652" s="131" t="s">
        <v>199</v>
      </c>
      <c r="B652" s="22" t="s">
        <v>366</v>
      </c>
      <c r="C652" s="22" t="s">
        <v>83</v>
      </c>
      <c r="D652" s="22" t="s">
        <v>69</v>
      </c>
      <c r="E652" s="22" t="s">
        <v>612</v>
      </c>
      <c r="F652" s="22" t="s">
        <v>377</v>
      </c>
      <c r="G652" s="156">
        <f t="shared" si="163"/>
        <v>50</v>
      </c>
      <c r="H652" s="323">
        <f t="shared" si="163"/>
        <v>0</v>
      </c>
      <c r="I652" s="156">
        <f t="shared" si="163"/>
        <v>50</v>
      </c>
      <c r="J652" s="156">
        <f t="shared" si="154"/>
        <v>100</v>
      </c>
    </row>
    <row r="653" spans="1:10" s="208" customFormat="1">
      <c r="A653" s="131" t="s">
        <v>378</v>
      </c>
      <c r="B653" s="22" t="s">
        <v>366</v>
      </c>
      <c r="C653" s="22" t="s">
        <v>83</v>
      </c>
      <c r="D653" s="22" t="s">
        <v>69</v>
      </c>
      <c r="E653" s="22" t="s">
        <v>612</v>
      </c>
      <c r="F653" s="22" t="s">
        <v>379</v>
      </c>
      <c r="G653" s="156">
        <v>50</v>
      </c>
      <c r="H653" s="323">
        <v>0</v>
      </c>
      <c r="I653" s="156">
        <v>50</v>
      </c>
      <c r="J653" s="156">
        <f t="shared" si="154"/>
        <v>100</v>
      </c>
    </row>
    <row r="654" spans="1:10" s="208" customFormat="1" ht="31.5">
      <c r="A654" s="213" t="s">
        <v>670</v>
      </c>
      <c r="B654" s="214" t="s">
        <v>570</v>
      </c>
      <c r="C654" s="151"/>
      <c r="D654" s="151"/>
      <c r="E654" s="214"/>
      <c r="F654" s="214"/>
      <c r="G654" s="215">
        <f>G655+G682+G689</f>
        <v>12157.063</v>
      </c>
      <c r="H654" s="215">
        <f>H655+H682+H689</f>
        <v>10491.617929999999</v>
      </c>
      <c r="I654" s="215">
        <f>I655+I682+I689</f>
        <v>12157.063</v>
      </c>
      <c r="J654" s="215">
        <f t="shared" si="154"/>
        <v>100</v>
      </c>
    </row>
    <row r="655" spans="1:10" s="208" customFormat="1">
      <c r="A655" s="133" t="s">
        <v>103</v>
      </c>
      <c r="B655" s="132" t="s">
        <v>570</v>
      </c>
      <c r="C655" s="132" t="s">
        <v>69</v>
      </c>
      <c r="D655" s="132" t="s">
        <v>70</v>
      </c>
      <c r="E655" s="132"/>
      <c r="F655" s="132"/>
      <c r="G655" s="158">
        <f>G656+G670+G676</f>
        <v>10112.063</v>
      </c>
      <c r="H655" s="158">
        <f>H656+H670+H676</f>
        <v>8625.8745499999986</v>
      </c>
      <c r="I655" s="158">
        <f>I656+I670+I676</f>
        <v>10112.063</v>
      </c>
      <c r="J655" s="158">
        <f t="shared" si="154"/>
        <v>100</v>
      </c>
    </row>
    <row r="656" spans="1:10" s="208" customFormat="1" ht="24">
      <c r="A656" s="133" t="s">
        <v>280</v>
      </c>
      <c r="B656" s="132" t="s">
        <v>570</v>
      </c>
      <c r="C656" s="132" t="s">
        <v>69</v>
      </c>
      <c r="D656" s="132" t="s">
        <v>71</v>
      </c>
      <c r="E656" s="132"/>
      <c r="F656" s="132"/>
      <c r="G656" s="158">
        <f t="shared" ref="G656:I657" si="164">G657</f>
        <v>9866.3880000000008</v>
      </c>
      <c r="H656" s="158">
        <f t="shared" si="164"/>
        <v>8534.0745499999994</v>
      </c>
      <c r="I656" s="158">
        <f t="shared" si="164"/>
        <v>9866.3880000000008</v>
      </c>
      <c r="J656" s="158">
        <f t="shared" si="154"/>
        <v>100</v>
      </c>
    </row>
    <row r="657" spans="1:10" s="208" customFormat="1">
      <c r="A657" s="173" t="s">
        <v>67</v>
      </c>
      <c r="B657" s="140" t="s">
        <v>570</v>
      </c>
      <c r="C657" s="140" t="s">
        <v>69</v>
      </c>
      <c r="D657" s="140" t="s">
        <v>71</v>
      </c>
      <c r="E657" s="140" t="s">
        <v>187</v>
      </c>
      <c r="F657" s="140"/>
      <c r="G657" s="175">
        <f t="shared" si="164"/>
        <v>9866.3880000000008</v>
      </c>
      <c r="H657" s="175">
        <f t="shared" si="164"/>
        <v>8534.0745499999994</v>
      </c>
      <c r="I657" s="175">
        <f t="shared" si="164"/>
        <v>9866.3880000000008</v>
      </c>
      <c r="J657" s="175">
        <f t="shared" si="154"/>
        <v>100</v>
      </c>
    </row>
    <row r="658" spans="1:10" s="208" customFormat="1">
      <c r="A658" s="212" t="s">
        <v>272</v>
      </c>
      <c r="B658" s="132" t="s">
        <v>570</v>
      </c>
      <c r="C658" s="132" t="s">
        <v>69</v>
      </c>
      <c r="D658" s="132" t="s">
        <v>71</v>
      </c>
      <c r="E658" s="132" t="s">
        <v>188</v>
      </c>
      <c r="F658" s="132"/>
      <c r="G658" s="158">
        <f>G659+G662+G667</f>
        <v>9866.3880000000008</v>
      </c>
      <c r="H658" s="158">
        <f>H659+H662+H667</f>
        <v>8534.0745499999994</v>
      </c>
      <c r="I658" s="158">
        <f>I659+I662+I667</f>
        <v>9866.3880000000008</v>
      </c>
      <c r="J658" s="158">
        <f t="shared" si="154"/>
        <v>100</v>
      </c>
    </row>
    <row r="659" spans="1:10" s="208" customFormat="1">
      <c r="A659" s="212" t="s">
        <v>271</v>
      </c>
      <c r="B659" s="132" t="s">
        <v>570</v>
      </c>
      <c r="C659" s="132" t="s">
        <v>69</v>
      </c>
      <c r="D659" s="132" t="s">
        <v>71</v>
      </c>
      <c r="E659" s="132" t="s">
        <v>189</v>
      </c>
      <c r="F659" s="132"/>
      <c r="G659" s="158">
        <f t="shared" ref="G659:I660" si="165">G660</f>
        <v>8815.3420000000006</v>
      </c>
      <c r="H659" s="158">
        <f t="shared" si="165"/>
        <v>7862.1433200000001</v>
      </c>
      <c r="I659" s="158">
        <f t="shared" si="165"/>
        <v>8815.3420000000006</v>
      </c>
      <c r="J659" s="158">
        <f t="shared" si="154"/>
        <v>100</v>
      </c>
    </row>
    <row r="660" spans="1:10" s="208" customFormat="1" ht="36">
      <c r="A660" s="131" t="s">
        <v>72</v>
      </c>
      <c r="B660" s="22" t="s">
        <v>570</v>
      </c>
      <c r="C660" s="22" t="s">
        <v>69</v>
      </c>
      <c r="D660" s="22" t="s">
        <v>71</v>
      </c>
      <c r="E660" s="22" t="s">
        <v>189</v>
      </c>
      <c r="F660" s="22" t="s">
        <v>73</v>
      </c>
      <c r="G660" s="156">
        <f t="shared" si="165"/>
        <v>8815.3420000000006</v>
      </c>
      <c r="H660" s="156">
        <f t="shared" si="165"/>
        <v>7862.1433200000001</v>
      </c>
      <c r="I660" s="156">
        <f t="shared" si="165"/>
        <v>8815.3420000000006</v>
      </c>
      <c r="J660" s="156">
        <f t="shared" si="154"/>
        <v>100</v>
      </c>
    </row>
    <row r="661" spans="1:10" s="208" customFormat="1">
      <c r="A661" s="131" t="s">
        <v>74</v>
      </c>
      <c r="B661" s="22" t="s">
        <v>570</v>
      </c>
      <c r="C661" s="22" t="s">
        <v>69</v>
      </c>
      <c r="D661" s="22" t="s">
        <v>71</v>
      </c>
      <c r="E661" s="22" t="s">
        <v>189</v>
      </c>
      <c r="F661" s="22" t="s">
        <v>75</v>
      </c>
      <c r="G661" s="156">
        <f>8481.2+891.9+269.8-827.558</f>
        <v>8815.3420000000006</v>
      </c>
      <c r="H661" s="156">
        <v>7862.1433200000001</v>
      </c>
      <c r="I661" s="156">
        <f>8481.2+891.9+269.8-827.558</f>
        <v>8815.3420000000006</v>
      </c>
      <c r="J661" s="156">
        <f t="shared" si="154"/>
        <v>100</v>
      </c>
    </row>
    <row r="662" spans="1:10" s="208" customFormat="1">
      <c r="A662" s="133" t="s">
        <v>76</v>
      </c>
      <c r="B662" s="132" t="s">
        <v>570</v>
      </c>
      <c r="C662" s="132" t="s">
        <v>69</v>
      </c>
      <c r="D662" s="132" t="s">
        <v>71</v>
      </c>
      <c r="E662" s="132" t="s">
        <v>190</v>
      </c>
      <c r="F662" s="132"/>
      <c r="G662" s="158">
        <f>G663+G665</f>
        <v>805</v>
      </c>
      <c r="H662" s="158">
        <f>H663+H665</f>
        <v>671.93123000000003</v>
      </c>
      <c r="I662" s="158">
        <f>I663+I665</f>
        <v>805</v>
      </c>
      <c r="J662" s="158">
        <f t="shared" si="154"/>
        <v>100</v>
      </c>
    </row>
    <row r="663" spans="1:10" s="208" customFormat="1">
      <c r="A663" s="131" t="s">
        <v>486</v>
      </c>
      <c r="B663" s="22" t="s">
        <v>570</v>
      </c>
      <c r="C663" s="22" t="s">
        <v>69</v>
      </c>
      <c r="D663" s="22" t="s">
        <v>71</v>
      </c>
      <c r="E663" s="22" t="s">
        <v>190</v>
      </c>
      <c r="F663" s="22" t="s">
        <v>77</v>
      </c>
      <c r="G663" s="156">
        <f>G664</f>
        <v>800</v>
      </c>
      <c r="H663" s="156">
        <f>H664</f>
        <v>671.43123000000003</v>
      </c>
      <c r="I663" s="156">
        <f>I664</f>
        <v>800</v>
      </c>
      <c r="J663" s="156">
        <f t="shared" si="154"/>
        <v>100</v>
      </c>
    </row>
    <row r="664" spans="1:10" s="208" customFormat="1">
      <c r="A664" s="131" t="s">
        <v>78</v>
      </c>
      <c r="B664" s="22" t="s">
        <v>570</v>
      </c>
      <c r="C664" s="22" t="s">
        <v>69</v>
      </c>
      <c r="D664" s="22" t="s">
        <v>71</v>
      </c>
      <c r="E664" s="22" t="s">
        <v>190</v>
      </c>
      <c r="F664" s="22" t="s">
        <v>79</v>
      </c>
      <c r="G664" s="156">
        <f>455+20+300+25</f>
        <v>800</v>
      </c>
      <c r="H664" s="156">
        <v>671.43123000000003</v>
      </c>
      <c r="I664" s="156">
        <f>455+20+300+25</f>
        <v>800</v>
      </c>
      <c r="J664" s="156">
        <f t="shared" si="154"/>
        <v>100</v>
      </c>
    </row>
    <row r="665" spans="1:10" s="208" customFormat="1">
      <c r="A665" s="131" t="s">
        <v>80</v>
      </c>
      <c r="B665" s="22" t="s">
        <v>570</v>
      </c>
      <c r="C665" s="22" t="s">
        <v>69</v>
      </c>
      <c r="D665" s="22" t="s">
        <v>71</v>
      </c>
      <c r="E665" s="22" t="s">
        <v>190</v>
      </c>
      <c r="F665" s="22" t="s">
        <v>81</v>
      </c>
      <c r="G665" s="156">
        <f>G666</f>
        <v>5</v>
      </c>
      <c r="H665" s="156">
        <f>H666</f>
        <v>0.5</v>
      </c>
      <c r="I665" s="156">
        <f>I666</f>
        <v>5</v>
      </c>
      <c r="J665" s="156">
        <f t="shared" si="154"/>
        <v>100</v>
      </c>
    </row>
    <row r="666" spans="1:10" s="208" customFormat="1">
      <c r="A666" s="131" t="s">
        <v>445</v>
      </c>
      <c r="B666" s="22" t="s">
        <v>570</v>
      </c>
      <c r="C666" s="22" t="s">
        <v>69</v>
      </c>
      <c r="D666" s="22" t="s">
        <v>71</v>
      </c>
      <c r="E666" s="22" t="s">
        <v>190</v>
      </c>
      <c r="F666" s="22" t="s">
        <v>82</v>
      </c>
      <c r="G666" s="156">
        <v>5</v>
      </c>
      <c r="H666" s="156">
        <v>0.5</v>
      </c>
      <c r="I666" s="156">
        <v>5</v>
      </c>
      <c r="J666" s="156">
        <f t="shared" si="154"/>
        <v>100</v>
      </c>
    </row>
    <row r="667" spans="1:10" s="208" customFormat="1">
      <c r="A667" s="133" t="s">
        <v>774</v>
      </c>
      <c r="B667" s="132" t="s">
        <v>570</v>
      </c>
      <c r="C667" s="132" t="s">
        <v>69</v>
      </c>
      <c r="D667" s="132" t="s">
        <v>71</v>
      </c>
      <c r="E667" s="132" t="s">
        <v>769</v>
      </c>
      <c r="F667" s="132"/>
      <c r="G667" s="158">
        <f t="shared" ref="G667:I668" si="166">G668</f>
        <v>246.04599999999999</v>
      </c>
      <c r="H667" s="324">
        <f t="shared" si="166"/>
        <v>0</v>
      </c>
      <c r="I667" s="158">
        <f t="shared" si="166"/>
        <v>246.04599999999999</v>
      </c>
      <c r="J667" s="158">
        <f t="shared" si="154"/>
        <v>100</v>
      </c>
    </row>
    <row r="668" spans="1:10" s="208" customFormat="1" ht="36">
      <c r="A668" s="131" t="s">
        <v>72</v>
      </c>
      <c r="B668" s="22" t="s">
        <v>570</v>
      </c>
      <c r="C668" s="22" t="s">
        <v>69</v>
      </c>
      <c r="D668" s="22" t="s">
        <v>71</v>
      </c>
      <c r="E668" s="22" t="s">
        <v>769</v>
      </c>
      <c r="F668" s="22" t="s">
        <v>73</v>
      </c>
      <c r="G668" s="156">
        <f t="shared" si="166"/>
        <v>246.04599999999999</v>
      </c>
      <c r="H668" s="323">
        <f t="shared" si="166"/>
        <v>0</v>
      </c>
      <c r="I668" s="156">
        <f t="shared" si="166"/>
        <v>246.04599999999999</v>
      </c>
      <c r="J668" s="156">
        <f t="shared" si="154"/>
        <v>100</v>
      </c>
    </row>
    <row r="669" spans="1:10" s="208" customFormat="1">
      <c r="A669" s="131" t="s">
        <v>74</v>
      </c>
      <c r="B669" s="22" t="s">
        <v>570</v>
      </c>
      <c r="C669" s="22" t="s">
        <v>69</v>
      </c>
      <c r="D669" s="22" t="s">
        <v>71</v>
      </c>
      <c r="E669" s="22" t="s">
        <v>769</v>
      </c>
      <c r="F669" s="22" t="s">
        <v>75</v>
      </c>
      <c r="G669" s="156">
        <v>246.04599999999999</v>
      </c>
      <c r="H669" s="323">
        <v>0</v>
      </c>
      <c r="I669" s="156">
        <v>246.04599999999999</v>
      </c>
      <c r="J669" s="156">
        <f t="shared" si="154"/>
        <v>100</v>
      </c>
    </row>
    <row r="670" spans="1:10" s="208" customFormat="1">
      <c r="A670" s="133" t="s">
        <v>395</v>
      </c>
      <c r="B670" s="132" t="s">
        <v>570</v>
      </c>
      <c r="C670" s="132" t="s">
        <v>69</v>
      </c>
      <c r="D670" s="132" t="s">
        <v>376</v>
      </c>
      <c r="E670" s="132"/>
      <c r="F670" s="132"/>
      <c r="G670" s="158">
        <f t="shared" ref="G670:I674" si="167">G671</f>
        <v>45.674999999999997</v>
      </c>
      <c r="H670" s="324">
        <f t="shared" si="167"/>
        <v>0</v>
      </c>
      <c r="I670" s="158">
        <f t="shared" si="167"/>
        <v>45.674999999999997</v>
      </c>
      <c r="J670" s="158">
        <f t="shared" si="154"/>
        <v>100</v>
      </c>
    </row>
    <row r="671" spans="1:10" s="208" customFormat="1">
      <c r="A671" s="173" t="s">
        <v>67</v>
      </c>
      <c r="B671" s="140" t="s">
        <v>570</v>
      </c>
      <c r="C671" s="140" t="s">
        <v>69</v>
      </c>
      <c r="D671" s="140" t="s">
        <v>376</v>
      </c>
      <c r="E671" s="140" t="s">
        <v>187</v>
      </c>
      <c r="F671" s="22"/>
      <c r="G671" s="175">
        <f t="shared" si="167"/>
        <v>45.674999999999997</v>
      </c>
      <c r="H671" s="325">
        <f t="shared" si="167"/>
        <v>0</v>
      </c>
      <c r="I671" s="175">
        <f t="shared" si="167"/>
        <v>45.674999999999997</v>
      </c>
      <c r="J671" s="175">
        <f t="shared" si="154"/>
        <v>100</v>
      </c>
    </row>
    <row r="672" spans="1:10" s="208" customFormat="1">
      <c r="A672" s="212" t="s">
        <v>272</v>
      </c>
      <c r="B672" s="132" t="s">
        <v>570</v>
      </c>
      <c r="C672" s="132" t="s">
        <v>69</v>
      </c>
      <c r="D672" s="132" t="s">
        <v>376</v>
      </c>
      <c r="E672" s="132" t="s">
        <v>188</v>
      </c>
      <c r="F672" s="22"/>
      <c r="G672" s="158">
        <f t="shared" si="167"/>
        <v>45.674999999999997</v>
      </c>
      <c r="H672" s="324">
        <f t="shared" si="167"/>
        <v>0</v>
      </c>
      <c r="I672" s="158">
        <f t="shared" si="167"/>
        <v>45.674999999999997</v>
      </c>
      <c r="J672" s="158">
        <f t="shared" si="154"/>
        <v>100</v>
      </c>
    </row>
    <row r="673" spans="1:10" s="208" customFormat="1" ht="24">
      <c r="A673" s="133" t="s">
        <v>398</v>
      </c>
      <c r="B673" s="132" t="s">
        <v>570</v>
      </c>
      <c r="C673" s="132" t="s">
        <v>69</v>
      </c>
      <c r="D673" s="132" t="s">
        <v>376</v>
      </c>
      <c r="E673" s="132" t="s">
        <v>313</v>
      </c>
      <c r="F673" s="132"/>
      <c r="G673" s="158">
        <f t="shared" si="167"/>
        <v>45.674999999999997</v>
      </c>
      <c r="H673" s="324">
        <f t="shared" si="167"/>
        <v>0</v>
      </c>
      <c r="I673" s="158">
        <f t="shared" si="167"/>
        <v>45.674999999999997</v>
      </c>
      <c r="J673" s="158">
        <f t="shared" si="154"/>
        <v>100</v>
      </c>
    </row>
    <row r="674" spans="1:10" s="208" customFormat="1">
      <c r="A674" s="131" t="s">
        <v>486</v>
      </c>
      <c r="B674" s="22" t="s">
        <v>570</v>
      </c>
      <c r="C674" s="22" t="s">
        <v>69</v>
      </c>
      <c r="D674" s="22" t="s">
        <v>376</v>
      </c>
      <c r="E674" s="22" t="s">
        <v>313</v>
      </c>
      <c r="F674" s="22" t="s">
        <v>77</v>
      </c>
      <c r="G674" s="156">
        <f t="shared" si="167"/>
        <v>45.674999999999997</v>
      </c>
      <c r="H674" s="323">
        <f t="shared" si="167"/>
        <v>0</v>
      </c>
      <c r="I674" s="156">
        <f t="shared" si="167"/>
        <v>45.674999999999997</v>
      </c>
      <c r="J674" s="156">
        <f t="shared" si="154"/>
        <v>100</v>
      </c>
    </row>
    <row r="675" spans="1:10" s="208" customFormat="1">
      <c r="A675" s="131" t="s">
        <v>78</v>
      </c>
      <c r="B675" s="22" t="s">
        <v>570</v>
      </c>
      <c r="C675" s="22" t="s">
        <v>69</v>
      </c>
      <c r="D675" s="22" t="s">
        <v>376</v>
      </c>
      <c r="E675" s="22" t="s">
        <v>313</v>
      </c>
      <c r="F675" s="22" t="s">
        <v>79</v>
      </c>
      <c r="G675" s="156">
        <v>45.674999999999997</v>
      </c>
      <c r="H675" s="323">
        <v>0</v>
      </c>
      <c r="I675" s="156">
        <v>45.674999999999997</v>
      </c>
      <c r="J675" s="156">
        <f t="shared" ref="J675:J738" si="168">I675/G675*100</f>
        <v>100</v>
      </c>
    </row>
    <row r="676" spans="1:10" s="208" customFormat="1">
      <c r="A676" s="135" t="s">
        <v>285</v>
      </c>
      <c r="B676" s="132" t="s">
        <v>570</v>
      </c>
      <c r="C676" s="132" t="s">
        <v>69</v>
      </c>
      <c r="D676" s="132" t="s">
        <v>86</v>
      </c>
      <c r="E676" s="132"/>
      <c r="F676" s="132"/>
      <c r="G676" s="158">
        <f t="shared" ref="G676:I680" si="169">G677</f>
        <v>200</v>
      </c>
      <c r="H676" s="158">
        <f t="shared" si="169"/>
        <v>91.8</v>
      </c>
      <c r="I676" s="158">
        <f t="shared" si="169"/>
        <v>200</v>
      </c>
      <c r="J676" s="158">
        <f t="shared" si="168"/>
        <v>100</v>
      </c>
    </row>
    <row r="677" spans="1:10" s="208" customFormat="1" ht="27">
      <c r="A677" s="235" t="s">
        <v>478</v>
      </c>
      <c r="B677" s="144" t="s">
        <v>570</v>
      </c>
      <c r="C677" s="144" t="s">
        <v>69</v>
      </c>
      <c r="D677" s="144" t="s">
        <v>86</v>
      </c>
      <c r="E677" s="144" t="s">
        <v>93</v>
      </c>
      <c r="F677" s="144"/>
      <c r="G677" s="218">
        <f t="shared" si="169"/>
        <v>200</v>
      </c>
      <c r="H677" s="218">
        <f t="shared" si="169"/>
        <v>91.8</v>
      </c>
      <c r="I677" s="218">
        <f t="shared" si="169"/>
        <v>200</v>
      </c>
      <c r="J677" s="218">
        <f t="shared" si="168"/>
        <v>100</v>
      </c>
    </row>
    <row r="678" spans="1:10" s="208" customFormat="1">
      <c r="A678" s="135" t="s">
        <v>438</v>
      </c>
      <c r="B678" s="132" t="s">
        <v>570</v>
      </c>
      <c r="C678" s="132" t="s">
        <v>69</v>
      </c>
      <c r="D678" s="132" t="s">
        <v>86</v>
      </c>
      <c r="E678" s="132" t="s">
        <v>439</v>
      </c>
      <c r="F678" s="132"/>
      <c r="G678" s="158">
        <f t="shared" si="169"/>
        <v>200</v>
      </c>
      <c r="H678" s="158">
        <f t="shared" si="169"/>
        <v>91.8</v>
      </c>
      <c r="I678" s="158">
        <f t="shared" si="169"/>
        <v>200</v>
      </c>
      <c r="J678" s="158">
        <f t="shared" si="168"/>
        <v>100</v>
      </c>
    </row>
    <row r="679" spans="1:10" s="208" customFormat="1">
      <c r="A679" s="236" t="s">
        <v>566</v>
      </c>
      <c r="B679" s="140" t="s">
        <v>570</v>
      </c>
      <c r="C679" s="140" t="s">
        <v>69</v>
      </c>
      <c r="D679" s="140" t="s">
        <v>86</v>
      </c>
      <c r="E679" s="140" t="s">
        <v>567</v>
      </c>
      <c r="F679" s="140"/>
      <c r="G679" s="175">
        <f t="shared" si="169"/>
        <v>200</v>
      </c>
      <c r="H679" s="175">
        <f t="shared" si="169"/>
        <v>91.8</v>
      </c>
      <c r="I679" s="175">
        <f t="shared" si="169"/>
        <v>200</v>
      </c>
      <c r="J679" s="175">
        <f t="shared" si="168"/>
        <v>100</v>
      </c>
    </row>
    <row r="680" spans="1:10" s="208" customFormat="1" ht="36">
      <c r="A680" s="131" t="s">
        <v>72</v>
      </c>
      <c r="B680" s="22" t="s">
        <v>570</v>
      </c>
      <c r="C680" s="22" t="s">
        <v>69</v>
      </c>
      <c r="D680" s="22" t="s">
        <v>86</v>
      </c>
      <c r="E680" s="22" t="s">
        <v>567</v>
      </c>
      <c r="F680" s="22" t="s">
        <v>73</v>
      </c>
      <c r="G680" s="156">
        <f t="shared" si="169"/>
        <v>200</v>
      </c>
      <c r="H680" s="156">
        <f t="shared" si="169"/>
        <v>91.8</v>
      </c>
      <c r="I680" s="156">
        <f t="shared" si="169"/>
        <v>200</v>
      </c>
      <c r="J680" s="156">
        <f t="shared" si="168"/>
        <v>100</v>
      </c>
    </row>
    <row r="681" spans="1:10" s="208" customFormat="1">
      <c r="A681" s="131" t="s">
        <v>74</v>
      </c>
      <c r="B681" s="22" t="s">
        <v>570</v>
      </c>
      <c r="C681" s="22" t="s">
        <v>69</v>
      </c>
      <c r="D681" s="22" t="s">
        <v>86</v>
      </c>
      <c r="E681" s="22" t="s">
        <v>567</v>
      </c>
      <c r="F681" s="22" t="s">
        <v>75</v>
      </c>
      <c r="G681" s="156">
        <v>200</v>
      </c>
      <c r="H681" s="156">
        <v>91.8</v>
      </c>
      <c r="I681" s="156">
        <v>200</v>
      </c>
      <c r="J681" s="156">
        <f t="shared" si="168"/>
        <v>100</v>
      </c>
    </row>
    <row r="682" spans="1:10" s="208" customFormat="1">
      <c r="A682" s="133" t="s">
        <v>333</v>
      </c>
      <c r="B682" s="132" t="s">
        <v>570</v>
      </c>
      <c r="C682" s="132" t="s">
        <v>376</v>
      </c>
      <c r="D682" s="132" t="s">
        <v>70</v>
      </c>
      <c r="E682" s="22"/>
      <c r="F682" s="22"/>
      <c r="G682" s="158">
        <f t="shared" ref="G682:I687" si="170">G683</f>
        <v>2000</v>
      </c>
      <c r="H682" s="158">
        <f t="shared" si="170"/>
        <v>1865.7433799999999</v>
      </c>
      <c r="I682" s="158">
        <f t="shared" si="170"/>
        <v>2000</v>
      </c>
      <c r="J682" s="158">
        <f t="shared" si="168"/>
        <v>100</v>
      </c>
    </row>
    <row r="683" spans="1:10" s="208" customFormat="1">
      <c r="A683" s="133" t="s">
        <v>336</v>
      </c>
      <c r="B683" s="132" t="s">
        <v>570</v>
      </c>
      <c r="C683" s="132" t="s">
        <v>376</v>
      </c>
      <c r="D683" s="132" t="s">
        <v>423</v>
      </c>
      <c r="E683" s="140"/>
      <c r="F683" s="140"/>
      <c r="G683" s="158">
        <f t="shared" si="170"/>
        <v>2000</v>
      </c>
      <c r="H683" s="158">
        <f t="shared" si="170"/>
        <v>1865.7433799999999</v>
      </c>
      <c r="I683" s="158">
        <f t="shared" si="170"/>
        <v>2000</v>
      </c>
      <c r="J683" s="158">
        <f t="shared" si="168"/>
        <v>100</v>
      </c>
    </row>
    <row r="684" spans="1:10" s="208" customFormat="1">
      <c r="A684" s="173" t="s">
        <v>67</v>
      </c>
      <c r="B684" s="140" t="s">
        <v>570</v>
      </c>
      <c r="C684" s="140" t="s">
        <v>376</v>
      </c>
      <c r="D684" s="140" t="s">
        <v>423</v>
      </c>
      <c r="E684" s="140" t="s">
        <v>187</v>
      </c>
      <c r="F684" s="140"/>
      <c r="G684" s="175">
        <f t="shared" si="170"/>
        <v>2000</v>
      </c>
      <c r="H684" s="175">
        <f t="shared" si="170"/>
        <v>1865.7433799999999</v>
      </c>
      <c r="I684" s="175">
        <f t="shared" si="170"/>
        <v>2000</v>
      </c>
      <c r="J684" s="175">
        <f t="shared" si="168"/>
        <v>100</v>
      </c>
    </row>
    <row r="685" spans="1:10" s="208" customFormat="1">
      <c r="A685" s="133" t="s">
        <v>272</v>
      </c>
      <c r="B685" s="132" t="s">
        <v>570</v>
      </c>
      <c r="C685" s="132" t="s">
        <v>376</v>
      </c>
      <c r="D685" s="132" t="s">
        <v>423</v>
      </c>
      <c r="E685" s="132" t="s">
        <v>188</v>
      </c>
      <c r="F685" s="132"/>
      <c r="G685" s="158">
        <f t="shared" si="170"/>
        <v>2000</v>
      </c>
      <c r="H685" s="158">
        <f t="shared" si="170"/>
        <v>1865.7433799999999</v>
      </c>
      <c r="I685" s="158">
        <f t="shared" si="170"/>
        <v>2000</v>
      </c>
      <c r="J685" s="158">
        <f t="shared" si="168"/>
        <v>100</v>
      </c>
    </row>
    <row r="686" spans="1:10" s="208" customFormat="1">
      <c r="A686" s="133" t="s">
        <v>502</v>
      </c>
      <c r="B686" s="132" t="s">
        <v>570</v>
      </c>
      <c r="C686" s="132" t="s">
        <v>376</v>
      </c>
      <c r="D686" s="132" t="s">
        <v>423</v>
      </c>
      <c r="E686" s="210" t="s">
        <v>310</v>
      </c>
      <c r="F686" s="132"/>
      <c r="G686" s="158">
        <f t="shared" si="170"/>
        <v>2000</v>
      </c>
      <c r="H686" s="158">
        <f t="shared" si="170"/>
        <v>1865.7433799999999</v>
      </c>
      <c r="I686" s="158">
        <f t="shared" si="170"/>
        <v>2000</v>
      </c>
      <c r="J686" s="158">
        <f t="shared" si="168"/>
        <v>100</v>
      </c>
    </row>
    <row r="687" spans="1:10" s="208" customFormat="1">
      <c r="A687" s="131" t="s">
        <v>486</v>
      </c>
      <c r="B687" s="22" t="s">
        <v>570</v>
      </c>
      <c r="C687" s="22" t="s">
        <v>376</v>
      </c>
      <c r="D687" s="22" t="s">
        <v>423</v>
      </c>
      <c r="E687" s="211" t="s">
        <v>310</v>
      </c>
      <c r="F687" s="22" t="s">
        <v>77</v>
      </c>
      <c r="G687" s="156">
        <f t="shared" si="170"/>
        <v>2000</v>
      </c>
      <c r="H687" s="156">
        <f t="shared" si="170"/>
        <v>1865.7433799999999</v>
      </c>
      <c r="I687" s="156">
        <f t="shared" si="170"/>
        <v>2000</v>
      </c>
      <c r="J687" s="156">
        <f t="shared" si="168"/>
        <v>100</v>
      </c>
    </row>
    <row r="688" spans="1:10" s="208" customFormat="1">
      <c r="A688" s="131" t="s">
        <v>78</v>
      </c>
      <c r="B688" s="22" t="s">
        <v>570</v>
      </c>
      <c r="C688" s="22" t="s">
        <v>376</v>
      </c>
      <c r="D688" s="22" t="s">
        <v>423</v>
      </c>
      <c r="E688" s="211" t="s">
        <v>310</v>
      </c>
      <c r="F688" s="22" t="s">
        <v>79</v>
      </c>
      <c r="G688" s="156">
        <v>2000</v>
      </c>
      <c r="H688" s="156">
        <v>1865.7433799999999</v>
      </c>
      <c r="I688" s="156">
        <v>2000</v>
      </c>
      <c r="J688" s="156">
        <f t="shared" si="168"/>
        <v>100</v>
      </c>
    </row>
    <row r="689" spans="1:10" s="208" customFormat="1">
      <c r="A689" s="133" t="s">
        <v>338</v>
      </c>
      <c r="B689" s="132" t="s">
        <v>570</v>
      </c>
      <c r="C689" s="132" t="s">
        <v>430</v>
      </c>
      <c r="D689" s="132" t="s">
        <v>70</v>
      </c>
      <c r="E689" s="22"/>
      <c r="F689" s="22"/>
      <c r="G689" s="158">
        <f t="shared" ref="G689:I694" si="171">G690</f>
        <v>45</v>
      </c>
      <c r="H689" s="324">
        <f t="shared" si="171"/>
        <v>0</v>
      </c>
      <c r="I689" s="158">
        <f t="shared" si="171"/>
        <v>45</v>
      </c>
      <c r="J689" s="158">
        <f t="shared" si="168"/>
        <v>100</v>
      </c>
    </row>
    <row r="690" spans="1:10" s="208" customFormat="1">
      <c r="A690" s="133" t="s">
        <v>568</v>
      </c>
      <c r="B690" s="132" t="s">
        <v>570</v>
      </c>
      <c r="C690" s="132" t="s">
        <v>430</v>
      </c>
      <c r="D690" s="132" t="s">
        <v>430</v>
      </c>
      <c r="E690" s="132"/>
      <c r="F690" s="132"/>
      <c r="G690" s="158">
        <f t="shared" si="171"/>
        <v>45</v>
      </c>
      <c r="H690" s="324">
        <f t="shared" si="171"/>
        <v>0</v>
      </c>
      <c r="I690" s="158">
        <f t="shared" si="171"/>
        <v>45</v>
      </c>
      <c r="J690" s="158">
        <f t="shared" si="168"/>
        <v>100</v>
      </c>
    </row>
    <row r="691" spans="1:10" s="208" customFormat="1">
      <c r="A691" s="173" t="s">
        <v>67</v>
      </c>
      <c r="B691" s="140" t="s">
        <v>570</v>
      </c>
      <c r="C691" s="140" t="s">
        <v>430</v>
      </c>
      <c r="D691" s="140" t="s">
        <v>430</v>
      </c>
      <c r="E691" s="140" t="s">
        <v>187</v>
      </c>
      <c r="F691" s="140"/>
      <c r="G691" s="175">
        <f t="shared" si="171"/>
        <v>45</v>
      </c>
      <c r="H691" s="325">
        <f t="shared" si="171"/>
        <v>0</v>
      </c>
      <c r="I691" s="175">
        <f t="shared" si="171"/>
        <v>45</v>
      </c>
      <c r="J691" s="175">
        <f t="shared" si="168"/>
        <v>100</v>
      </c>
    </row>
    <row r="692" spans="1:10" s="208" customFormat="1">
      <c r="A692" s="212" t="s">
        <v>272</v>
      </c>
      <c r="B692" s="132" t="s">
        <v>570</v>
      </c>
      <c r="C692" s="132" t="s">
        <v>430</v>
      </c>
      <c r="D692" s="132" t="s">
        <v>430</v>
      </c>
      <c r="E692" s="132" t="s">
        <v>188</v>
      </c>
      <c r="F692" s="132"/>
      <c r="G692" s="158">
        <f t="shared" si="171"/>
        <v>45</v>
      </c>
      <c r="H692" s="324">
        <f t="shared" si="171"/>
        <v>0</v>
      </c>
      <c r="I692" s="158">
        <f t="shared" si="171"/>
        <v>45</v>
      </c>
      <c r="J692" s="158">
        <f t="shared" si="168"/>
        <v>100</v>
      </c>
    </row>
    <row r="693" spans="1:10" s="208" customFormat="1">
      <c r="A693" s="173" t="s">
        <v>290</v>
      </c>
      <c r="B693" s="140" t="s">
        <v>570</v>
      </c>
      <c r="C693" s="140" t="s">
        <v>430</v>
      </c>
      <c r="D693" s="140" t="s">
        <v>430</v>
      </c>
      <c r="E693" s="140" t="s">
        <v>477</v>
      </c>
      <c r="F693" s="140"/>
      <c r="G693" s="175">
        <f t="shared" si="171"/>
        <v>45</v>
      </c>
      <c r="H693" s="325">
        <f t="shared" si="171"/>
        <v>0</v>
      </c>
      <c r="I693" s="175">
        <f t="shared" si="171"/>
        <v>45</v>
      </c>
      <c r="J693" s="175">
        <f t="shared" si="168"/>
        <v>100</v>
      </c>
    </row>
    <row r="694" spans="1:10" s="208" customFormat="1">
      <c r="A694" s="131" t="s">
        <v>486</v>
      </c>
      <c r="B694" s="22" t="s">
        <v>570</v>
      </c>
      <c r="C694" s="22" t="s">
        <v>430</v>
      </c>
      <c r="D694" s="22" t="s">
        <v>430</v>
      </c>
      <c r="E694" s="22" t="s">
        <v>477</v>
      </c>
      <c r="F694" s="22" t="s">
        <v>77</v>
      </c>
      <c r="G694" s="156">
        <f t="shared" si="171"/>
        <v>45</v>
      </c>
      <c r="H694" s="323">
        <f t="shared" si="171"/>
        <v>0</v>
      </c>
      <c r="I694" s="156">
        <f t="shared" si="171"/>
        <v>45</v>
      </c>
      <c r="J694" s="156">
        <f t="shared" si="168"/>
        <v>100</v>
      </c>
    </row>
    <row r="695" spans="1:10" s="208" customFormat="1">
      <c r="A695" s="131" t="s">
        <v>78</v>
      </c>
      <c r="B695" s="22" t="s">
        <v>570</v>
      </c>
      <c r="C695" s="22" t="s">
        <v>430</v>
      </c>
      <c r="D695" s="22" t="s">
        <v>430</v>
      </c>
      <c r="E695" s="22" t="s">
        <v>477</v>
      </c>
      <c r="F695" s="22" t="s">
        <v>79</v>
      </c>
      <c r="G695" s="156">
        <f>187.5-142.5</f>
        <v>45</v>
      </c>
      <c r="H695" s="323">
        <v>0</v>
      </c>
      <c r="I695" s="156">
        <f>187.5-142.5</f>
        <v>45</v>
      </c>
      <c r="J695" s="156">
        <f t="shared" si="168"/>
        <v>100</v>
      </c>
    </row>
    <row r="696" spans="1:10" s="208" customFormat="1" ht="31.5">
      <c r="A696" s="213" t="s">
        <v>571</v>
      </c>
      <c r="B696" s="214" t="s">
        <v>572</v>
      </c>
      <c r="C696" s="151"/>
      <c r="D696" s="151"/>
      <c r="E696" s="214"/>
      <c r="F696" s="214"/>
      <c r="G696" s="215">
        <f>G697+G724+G731</f>
        <v>14999.968999999997</v>
      </c>
      <c r="H696" s="215">
        <f>H697+H724+H731</f>
        <v>11750.519259999999</v>
      </c>
      <c r="I696" s="215">
        <f>I697+I724+I731</f>
        <v>14368.968999999997</v>
      </c>
      <c r="J696" s="215">
        <f t="shared" si="168"/>
        <v>95.793324639537587</v>
      </c>
    </row>
    <row r="697" spans="1:10" s="208" customFormat="1">
      <c r="A697" s="133" t="s">
        <v>103</v>
      </c>
      <c r="B697" s="132" t="s">
        <v>572</v>
      </c>
      <c r="C697" s="132" t="s">
        <v>69</v>
      </c>
      <c r="D697" s="132" t="s">
        <v>70</v>
      </c>
      <c r="E697" s="132"/>
      <c r="F697" s="132"/>
      <c r="G697" s="158">
        <f>G698+G712+G718</f>
        <v>12969.968999999997</v>
      </c>
      <c r="H697" s="158">
        <f>H698+H712+H718</f>
        <v>10869.312499999998</v>
      </c>
      <c r="I697" s="158">
        <f>I698+I712+I718</f>
        <v>12969.968999999997</v>
      </c>
      <c r="J697" s="158">
        <f t="shared" si="168"/>
        <v>100</v>
      </c>
    </row>
    <row r="698" spans="1:10" s="208" customFormat="1" ht="24">
      <c r="A698" s="133" t="s">
        <v>280</v>
      </c>
      <c r="B698" s="132" t="s">
        <v>572</v>
      </c>
      <c r="C698" s="132" t="s">
        <v>69</v>
      </c>
      <c r="D698" s="132" t="s">
        <v>71</v>
      </c>
      <c r="E698" s="132"/>
      <c r="F698" s="132"/>
      <c r="G698" s="158">
        <f t="shared" ref="G698:I699" si="172">G699</f>
        <v>12724.293999999998</v>
      </c>
      <c r="H698" s="158">
        <f t="shared" si="172"/>
        <v>10757.912499999999</v>
      </c>
      <c r="I698" s="158">
        <f t="shared" si="172"/>
        <v>12724.293999999998</v>
      </c>
      <c r="J698" s="158">
        <f t="shared" si="168"/>
        <v>100</v>
      </c>
    </row>
    <row r="699" spans="1:10" s="208" customFormat="1">
      <c r="A699" s="173" t="s">
        <v>67</v>
      </c>
      <c r="B699" s="140" t="s">
        <v>572</v>
      </c>
      <c r="C699" s="140" t="s">
        <v>69</v>
      </c>
      <c r="D699" s="140" t="s">
        <v>71</v>
      </c>
      <c r="E699" s="140" t="s">
        <v>187</v>
      </c>
      <c r="F699" s="140"/>
      <c r="G699" s="175">
        <f t="shared" si="172"/>
        <v>12724.293999999998</v>
      </c>
      <c r="H699" s="175">
        <f t="shared" si="172"/>
        <v>10757.912499999999</v>
      </c>
      <c r="I699" s="175">
        <f t="shared" si="172"/>
        <v>12724.293999999998</v>
      </c>
      <c r="J699" s="175">
        <f t="shared" si="168"/>
        <v>100</v>
      </c>
    </row>
    <row r="700" spans="1:10" s="208" customFormat="1">
      <c r="A700" s="212" t="s">
        <v>272</v>
      </c>
      <c r="B700" s="132" t="s">
        <v>572</v>
      </c>
      <c r="C700" s="132" t="s">
        <v>69</v>
      </c>
      <c r="D700" s="132" t="s">
        <v>71</v>
      </c>
      <c r="E700" s="132" t="s">
        <v>188</v>
      </c>
      <c r="F700" s="132"/>
      <c r="G700" s="158">
        <f>G701+G704+G709</f>
        <v>12724.293999999998</v>
      </c>
      <c r="H700" s="158">
        <f>H701+H704+H709</f>
        <v>10757.912499999999</v>
      </c>
      <c r="I700" s="158">
        <f>I701+I704+I709</f>
        <v>12724.293999999998</v>
      </c>
      <c r="J700" s="158">
        <f t="shared" si="168"/>
        <v>100</v>
      </c>
    </row>
    <row r="701" spans="1:10" s="208" customFormat="1">
      <c r="A701" s="212" t="s">
        <v>271</v>
      </c>
      <c r="B701" s="132" t="s">
        <v>572</v>
      </c>
      <c r="C701" s="132" t="s">
        <v>69</v>
      </c>
      <c r="D701" s="132" t="s">
        <v>71</v>
      </c>
      <c r="E701" s="132" t="s">
        <v>189</v>
      </c>
      <c r="F701" s="132"/>
      <c r="G701" s="158">
        <f t="shared" ref="G701:I702" si="173">G702</f>
        <v>11109.199999999999</v>
      </c>
      <c r="H701" s="158">
        <f t="shared" si="173"/>
        <v>9814.6032099999993</v>
      </c>
      <c r="I701" s="158">
        <f t="shared" si="173"/>
        <v>11109.199999999999</v>
      </c>
      <c r="J701" s="158">
        <f t="shared" si="168"/>
        <v>100</v>
      </c>
    </row>
    <row r="702" spans="1:10" s="208" customFormat="1" ht="36">
      <c r="A702" s="131" t="s">
        <v>72</v>
      </c>
      <c r="B702" s="22" t="s">
        <v>572</v>
      </c>
      <c r="C702" s="22" t="s">
        <v>69</v>
      </c>
      <c r="D702" s="22" t="s">
        <v>71</v>
      </c>
      <c r="E702" s="22" t="s">
        <v>189</v>
      </c>
      <c r="F702" s="22" t="s">
        <v>73</v>
      </c>
      <c r="G702" s="156">
        <f t="shared" si="173"/>
        <v>11109.199999999999</v>
      </c>
      <c r="H702" s="156">
        <f t="shared" si="173"/>
        <v>9814.6032099999993</v>
      </c>
      <c r="I702" s="156">
        <f t="shared" si="173"/>
        <v>11109.199999999999</v>
      </c>
      <c r="J702" s="156">
        <f t="shared" si="168"/>
        <v>100</v>
      </c>
    </row>
    <row r="703" spans="1:10" s="208" customFormat="1">
      <c r="A703" s="131" t="s">
        <v>74</v>
      </c>
      <c r="B703" s="22" t="s">
        <v>572</v>
      </c>
      <c r="C703" s="22" t="s">
        <v>69</v>
      </c>
      <c r="D703" s="22" t="s">
        <v>71</v>
      </c>
      <c r="E703" s="22" t="s">
        <v>189</v>
      </c>
      <c r="F703" s="22" t="s">
        <v>75</v>
      </c>
      <c r="G703" s="156">
        <f>8860+1803.8+545.4-100</f>
        <v>11109.199999999999</v>
      </c>
      <c r="H703" s="156">
        <v>9814.6032099999993</v>
      </c>
      <c r="I703" s="156">
        <f>8860+1803.8+545.4-100</f>
        <v>11109.199999999999</v>
      </c>
      <c r="J703" s="156">
        <f t="shared" si="168"/>
        <v>100</v>
      </c>
    </row>
    <row r="704" spans="1:10" s="208" customFormat="1">
      <c r="A704" s="133" t="s">
        <v>76</v>
      </c>
      <c r="B704" s="132" t="s">
        <v>572</v>
      </c>
      <c r="C704" s="132" t="s">
        <v>69</v>
      </c>
      <c r="D704" s="132" t="s">
        <v>71</v>
      </c>
      <c r="E704" s="132" t="s">
        <v>190</v>
      </c>
      <c r="F704" s="132"/>
      <c r="G704" s="158">
        <f>G705+G707</f>
        <v>1238.5</v>
      </c>
      <c r="H704" s="158">
        <f>H705+H707</f>
        <v>943.30928999999992</v>
      </c>
      <c r="I704" s="158">
        <f>I705+I707</f>
        <v>1238.5</v>
      </c>
      <c r="J704" s="158">
        <f t="shared" si="168"/>
        <v>100</v>
      </c>
    </row>
    <row r="705" spans="1:10" s="208" customFormat="1">
      <c r="A705" s="131" t="s">
        <v>486</v>
      </c>
      <c r="B705" s="22" t="s">
        <v>572</v>
      </c>
      <c r="C705" s="22" t="s">
        <v>69</v>
      </c>
      <c r="D705" s="22" t="s">
        <v>71</v>
      </c>
      <c r="E705" s="22" t="s">
        <v>190</v>
      </c>
      <c r="F705" s="22" t="s">
        <v>77</v>
      </c>
      <c r="G705" s="156">
        <f>G706</f>
        <v>1226</v>
      </c>
      <c r="H705" s="156">
        <f>H706</f>
        <v>940.17539999999997</v>
      </c>
      <c r="I705" s="156">
        <f>I706</f>
        <v>1226</v>
      </c>
      <c r="J705" s="156">
        <f t="shared" si="168"/>
        <v>100</v>
      </c>
    </row>
    <row r="706" spans="1:10" s="208" customFormat="1">
      <c r="A706" s="131" t="s">
        <v>78</v>
      </c>
      <c r="B706" s="22" t="s">
        <v>572</v>
      </c>
      <c r="C706" s="22" t="s">
        <v>69</v>
      </c>
      <c r="D706" s="22" t="s">
        <v>71</v>
      </c>
      <c r="E706" s="22" t="s">
        <v>190</v>
      </c>
      <c r="F706" s="22" t="s">
        <v>79</v>
      </c>
      <c r="G706" s="156">
        <f>496+120+110+450+50</f>
        <v>1226</v>
      </c>
      <c r="H706" s="156">
        <v>940.17539999999997</v>
      </c>
      <c r="I706" s="156">
        <f>496+120+110+450+50</f>
        <v>1226</v>
      </c>
      <c r="J706" s="156">
        <f t="shared" si="168"/>
        <v>100</v>
      </c>
    </row>
    <row r="707" spans="1:10" s="208" customFormat="1">
      <c r="A707" s="131" t="s">
        <v>80</v>
      </c>
      <c r="B707" s="22" t="s">
        <v>572</v>
      </c>
      <c r="C707" s="22" t="s">
        <v>69</v>
      </c>
      <c r="D707" s="22" t="s">
        <v>71</v>
      </c>
      <c r="E707" s="22" t="s">
        <v>190</v>
      </c>
      <c r="F707" s="22" t="s">
        <v>81</v>
      </c>
      <c r="G707" s="156">
        <f>G708</f>
        <v>12.5</v>
      </c>
      <c r="H707" s="156">
        <f>H708</f>
        <v>3.1338900000000001</v>
      </c>
      <c r="I707" s="156">
        <f>I708</f>
        <v>12.5</v>
      </c>
      <c r="J707" s="156">
        <f t="shared" si="168"/>
        <v>100</v>
      </c>
    </row>
    <row r="708" spans="1:10" s="208" customFormat="1">
      <c r="A708" s="131" t="s">
        <v>445</v>
      </c>
      <c r="B708" s="22" t="s">
        <v>572</v>
      </c>
      <c r="C708" s="22" t="s">
        <v>69</v>
      </c>
      <c r="D708" s="22" t="s">
        <v>71</v>
      </c>
      <c r="E708" s="22" t="s">
        <v>190</v>
      </c>
      <c r="F708" s="22" t="s">
        <v>82</v>
      </c>
      <c r="G708" s="156">
        <v>12.5</v>
      </c>
      <c r="H708" s="156">
        <v>3.1338900000000001</v>
      </c>
      <c r="I708" s="156">
        <v>12.5</v>
      </c>
      <c r="J708" s="156">
        <f t="shared" si="168"/>
        <v>100</v>
      </c>
    </row>
    <row r="709" spans="1:10" s="208" customFormat="1">
      <c r="A709" s="133" t="s">
        <v>774</v>
      </c>
      <c r="B709" s="132" t="s">
        <v>572</v>
      </c>
      <c r="C709" s="132" t="s">
        <v>69</v>
      </c>
      <c r="D709" s="132" t="s">
        <v>71</v>
      </c>
      <c r="E709" s="132" t="s">
        <v>769</v>
      </c>
      <c r="F709" s="132"/>
      <c r="G709" s="158">
        <f t="shared" ref="G709:I710" si="174">G710</f>
        <v>376.59399999999999</v>
      </c>
      <c r="H709" s="324">
        <f t="shared" si="174"/>
        <v>0</v>
      </c>
      <c r="I709" s="158">
        <f t="shared" si="174"/>
        <v>376.59399999999999</v>
      </c>
      <c r="J709" s="158">
        <f t="shared" si="168"/>
        <v>100</v>
      </c>
    </row>
    <row r="710" spans="1:10" s="208" customFormat="1" ht="36">
      <c r="A710" s="131" t="s">
        <v>72</v>
      </c>
      <c r="B710" s="22" t="s">
        <v>572</v>
      </c>
      <c r="C710" s="22" t="s">
        <v>69</v>
      </c>
      <c r="D710" s="22" t="s">
        <v>71</v>
      </c>
      <c r="E710" s="22" t="s">
        <v>769</v>
      </c>
      <c r="F710" s="22" t="s">
        <v>73</v>
      </c>
      <c r="G710" s="156">
        <f t="shared" si="174"/>
        <v>376.59399999999999</v>
      </c>
      <c r="H710" s="323">
        <f t="shared" si="174"/>
        <v>0</v>
      </c>
      <c r="I710" s="156">
        <f t="shared" si="174"/>
        <v>376.59399999999999</v>
      </c>
      <c r="J710" s="156">
        <f t="shared" si="168"/>
        <v>100</v>
      </c>
    </row>
    <row r="711" spans="1:10" s="208" customFormat="1">
      <c r="A711" s="131" t="s">
        <v>74</v>
      </c>
      <c r="B711" s="22" t="s">
        <v>572</v>
      </c>
      <c r="C711" s="22" t="s">
        <v>69</v>
      </c>
      <c r="D711" s="22" t="s">
        <v>71</v>
      </c>
      <c r="E711" s="22" t="s">
        <v>769</v>
      </c>
      <c r="F711" s="22" t="s">
        <v>75</v>
      </c>
      <c r="G711" s="156">
        <v>376.59399999999999</v>
      </c>
      <c r="H711" s="323">
        <v>0</v>
      </c>
      <c r="I711" s="156">
        <v>376.59399999999999</v>
      </c>
      <c r="J711" s="156">
        <f t="shared" si="168"/>
        <v>100</v>
      </c>
    </row>
    <row r="712" spans="1:10" s="208" customFormat="1">
      <c r="A712" s="133" t="s">
        <v>395</v>
      </c>
      <c r="B712" s="132" t="s">
        <v>572</v>
      </c>
      <c r="C712" s="132" t="s">
        <v>69</v>
      </c>
      <c r="D712" s="132" t="s">
        <v>376</v>
      </c>
      <c r="E712" s="132"/>
      <c r="F712" s="132"/>
      <c r="G712" s="158">
        <f t="shared" ref="G712:I716" si="175">G713</f>
        <v>45.674999999999997</v>
      </c>
      <c r="H712" s="324">
        <f t="shared" si="175"/>
        <v>0</v>
      </c>
      <c r="I712" s="158">
        <f t="shared" si="175"/>
        <v>45.674999999999997</v>
      </c>
      <c r="J712" s="158">
        <f t="shared" si="168"/>
        <v>100</v>
      </c>
    </row>
    <row r="713" spans="1:10" s="208" customFormat="1">
      <c r="A713" s="173" t="s">
        <v>67</v>
      </c>
      <c r="B713" s="140" t="s">
        <v>572</v>
      </c>
      <c r="C713" s="140" t="s">
        <v>69</v>
      </c>
      <c r="D713" s="140" t="s">
        <v>376</v>
      </c>
      <c r="E713" s="140" t="s">
        <v>187</v>
      </c>
      <c r="F713" s="22"/>
      <c r="G713" s="175">
        <f t="shared" si="175"/>
        <v>45.674999999999997</v>
      </c>
      <c r="H713" s="325">
        <f t="shared" si="175"/>
        <v>0</v>
      </c>
      <c r="I713" s="175">
        <f t="shared" si="175"/>
        <v>45.674999999999997</v>
      </c>
      <c r="J713" s="175">
        <f t="shared" si="168"/>
        <v>100</v>
      </c>
    </row>
    <row r="714" spans="1:10" s="208" customFormat="1">
      <c r="A714" s="212" t="s">
        <v>272</v>
      </c>
      <c r="B714" s="132" t="s">
        <v>572</v>
      </c>
      <c r="C714" s="132" t="s">
        <v>69</v>
      </c>
      <c r="D714" s="132" t="s">
        <v>376</v>
      </c>
      <c r="E714" s="132" t="s">
        <v>188</v>
      </c>
      <c r="F714" s="22"/>
      <c r="G714" s="158">
        <f t="shared" si="175"/>
        <v>45.674999999999997</v>
      </c>
      <c r="H714" s="324">
        <f t="shared" si="175"/>
        <v>0</v>
      </c>
      <c r="I714" s="158">
        <f t="shared" si="175"/>
        <v>45.674999999999997</v>
      </c>
      <c r="J714" s="158">
        <f t="shared" si="168"/>
        <v>100</v>
      </c>
    </row>
    <row r="715" spans="1:10" s="208" customFormat="1" ht="24">
      <c r="A715" s="133" t="s">
        <v>398</v>
      </c>
      <c r="B715" s="132" t="s">
        <v>572</v>
      </c>
      <c r="C715" s="132" t="s">
        <v>69</v>
      </c>
      <c r="D715" s="132" t="s">
        <v>376</v>
      </c>
      <c r="E715" s="132" t="s">
        <v>313</v>
      </c>
      <c r="F715" s="132"/>
      <c r="G715" s="158">
        <f t="shared" si="175"/>
        <v>45.674999999999997</v>
      </c>
      <c r="H715" s="324">
        <f t="shared" si="175"/>
        <v>0</v>
      </c>
      <c r="I715" s="158">
        <f t="shared" si="175"/>
        <v>45.674999999999997</v>
      </c>
      <c r="J715" s="158">
        <f t="shared" si="168"/>
        <v>100</v>
      </c>
    </row>
    <row r="716" spans="1:10" s="208" customFormat="1">
      <c r="A716" s="131" t="s">
        <v>486</v>
      </c>
      <c r="B716" s="22" t="s">
        <v>572</v>
      </c>
      <c r="C716" s="22" t="s">
        <v>69</v>
      </c>
      <c r="D716" s="22" t="s">
        <v>376</v>
      </c>
      <c r="E716" s="22" t="s">
        <v>313</v>
      </c>
      <c r="F716" s="22" t="s">
        <v>77</v>
      </c>
      <c r="G716" s="156">
        <f t="shared" si="175"/>
        <v>45.674999999999997</v>
      </c>
      <c r="H716" s="323">
        <f t="shared" si="175"/>
        <v>0</v>
      </c>
      <c r="I716" s="156">
        <f t="shared" si="175"/>
        <v>45.674999999999997</v>
      </c>
      <c r="J716" s="156">
        <f t="shared" si="168"/>
        <v>100</v>
      </c>
    </row>
    <row r="717" spans="1:10" s="208" customFormat="1">
      <c r="A717" s="131" t="s">
        <v>78</v>
      </c>
      <c r="B717" s="22" t="s">
        <v>572</v>
      </c>
      <c r="C717" s="22" t="s">
        <v>69</v>
      </c>
      <c r="D717" s="22" t="s">
        <v>376</v>
      </c>
      <c r="E717" s="22" t="s">
        <v>313</v>
      </c>
      <c r="F717" s="22" t="s">
        <v>79</v>
      </c>
      <c r="G717" s="156">
        <v>45.674999999999997</v>
      </c>
      <c r="H717" s="323">
        <v>0</v>
      </c>
      <c r="I717" s="156">
        <v>45.674999999999997</v>
      </c>
      <c r="J717" s="156">
        <f t="shared" si="168"/>
        <v>100</v>
      </c>
    </row>
    <row r="718" spans="1:10" s="208" customFormat="1">
      <c r="A718" s="135" t="s">
        <v>285</v>
      </c>
      <c r="B718" s="132" t="s">
        <v>572</v>
      </c>
      <c r="C718" s="132" t="s">
        <v>69</v>
      </c>
      <c r="D718" s="132" t="s">
        <v>86</v>
      </c>
      <c r="E718" s="132"/>
      <c r="F718" s="132"/>
      <c r="G718" s="158">
        <f t="shared" ref="G718:I722" si="176">G719</f>
        <v>200</v>
      </c>
      <c r="H718" s="158">
        <f t="shared" si="176"/>
        <v>111.4</v>
      </c>
      <c r="I718" s="158">
        <f t="shared" si="176"/>
        <v>200</v>
      </c>
      <c r="J718" s="158">
        <f t="shared" si="168"/>
        <v>100</v>
      </c>
    </row>
    <row r="719" spans="1:10" s="208" customFormat="1" ht="27">
      <c r="A719" s="235" t="s">
        <v>478</v>
      </c>
      <c r="B719" s="144" t="s">
        <v>572</v>
      </c>
      <c r="C719" s="144" t="s">
        <v>69</v>
      </c>
      <c r="D719" s="144" t="s">
        <v>86</v>
      </c>
      <c r="E719" s="144" t="s">
        <v>93</v>
      </c>
      <c r="F719" s="144"/>
      <c r="G719" s="218">
        <f t="shared" si="176"/>
        <v>200</v>
      </c>
      <c r="H719" s="218">
        <f t="shared" si="176"/>
        <v>111.4</v>
      </c>
      <c r="I719" s="218">
        <f t="shared" si="176"/>
        <v>200</v>
      </c>
      <c r="J719" s="218">
        <f t="shared" si="168"/>
        <v>100</v>
      </c>
    </row>
    <row r="720" spans="1:10" s="208" customFormat="1">
      <c r="A720" s="135" t="s">
        <v>438</v>
      </c>
      <c r="B720" s="132" t="s">
        <v>572</v>
      </c>
      <c r="C720" s="132" t="s">
        <v>69</v>
      </c>
      <c r="D720" s="132" t="s">
        <v>86</v>
      </c>
      <c r="E720" s="132" t="s">
        <v>439</v>
      </c>
      <c r="F720" s="132"/>
      <c r="G720" s="158">
        <f t="shared" si="176"/>
        <v>200</v>
      </c>
      <c r="H720" s="158">
        <f t="shared" si="176"/>
        <v>111.4</v>
      </c>
      <c r="I720" s="158">
        <f t="shared" si="176"/>
        <v>200</v>
      </c>
      <c r="J720" s="158">
        <f t="shared" si="168"/>
        <v>100</v>
      </c>
    </row>
    <row r="721" spans="1:10" s="208" customFormat="1">
      <c r="A721" s="236" t="s">
        <v>566</v>
      </c>
      <c r="B721" s="140" t="s">
        <v>572</v>
      </c>
      <c r="C721" s="140" t="s">
        <v>69</v>
      </c>
      <c r="D721" s="140" t="s">
        <v>86</v>
      </c>
      <c r="E721" s="140" t="s">
        <v>567</v>
      </c>
      <c r="F721" s="140"/>
      <c r="G721" s="175">
        <f t="shared" si="176"/>
        <v>200</v>
      </c>
      <c r="H721" s="175">
        <f t="shared" si="176"/>
        <v>111.4</v>
      </c>
      <c r="I721" s="175">
        <f t="shared" si="176"/>
        <v>200</v>
      </c>
      <c r="J721" s="175">
        <f t="shared" si="168"/>
        <v>100</v>
      </c>
    </row>
    <row r="722" spans="1:10" s="208" customFormat="1" ht="36">
      <c r="A722" s="131" t="s">
        <v>72</v>
      </c>
      <c r="B722" s="22" t="s">
        <v>572</v>
      </c>
      <c r="C722" s="22" t="s">
        <v>69</v>
      </c>
      <c r="D722" s="22" t="s">
        <v>86</v>
      </c>
      <c r="E722" s="22" t="s">
        <v>567</v>
      </c>
      <c r="F722" s="22" t="s">
        <v>73</v>
      </c>
      <c r="G722" s="156">
        <f t="shared" si="176"/>
        <v>200</v>
      </c>
      <c r="H722" s="156">
        <f t="shared" si="176"/>
        <v>111.4</v>
      </c>
      <c r="I722" s="156">
        <f t="shared" si="176"/>
        <v>200</v>
      </c>
      <c r="J722" s="156">
        <f t="shared" si="168"/>
        <v>100</v>
      </c>
    </row>
    <row r="723" spans="1:10" s="208" customFormat="1">
      <c r="A723" s="131" t="s">
        <v>74</v>
      </c>
      <c r="B723" s="22" t="s">
        <v>572</v>
      </c>
      <c r="C723" s="22" t="s">
        <v>69</v>
      </c>
      <c r="D723" s="22" t="s">
        <v>86</v>
      </c>
      <c r="E723" s="22" t="s">
        <v>567</v>
      </c>
      <c r="F723" s="22" t="s">
        <v>75</v>
      </c>
      <c r="G723" s="156">
        <v>200</v>
      </c>
      <c r="H723" s="156">
        <v>111.4</v>
      </c>
      <c r="I723" s="156">
        <v>200</v>
      </c>
      <c r="J723" s="156">
        <f t="shared" si="168"/>
        <v>100</v>
      </c>
    </row>
    <row r="724" spans="1:10" s="208" customFormat="1">
      <c r="A724" s="133" t="s">
        <v>333</v>
      </c>
      <c r="B724" s="132" t="s">
        <v>572</v>
      </c>
      <c r="C724" s="132" t="s">
        <v>376</v>
      </c>
      <c r="D724" s="132" t="s">
        <v>70</v>
      </c>
      <c r="E724" s="22"/>
      <c r="F724" s="22"/>
      <c r="G724" s="158">
        <f t="shared" ref="G724:I729" si="177">G725</f>
        <v>2000</v>
      </c>
      <c r="H724" s="158">
        <f t="shared" si="177"/>
        <v>855.37296000000003</v>
      </c>
      <c r="I724" s="158">
        <f t="shared" si="177"/>
        <v>1369</v>
      </c>
      <c r="J724" s="158">
        <f t="shared" si="168"/>
        <v>68.45</v>
      </c>
    </row>
    <row r="725" spans="1:10" s="208" customFormat="1">
      <c r="A725" s="133" t="s">
        <v>336</v>
      </c>
      <c r="B725" s="132" t="s">
        <v>572</v>
      </c>
      <c r="C725" s="132" t="s">
        <v>376</v>
      </c>
      <c r="D725" s="132" t="s">
        <v>423</v>
      </c>
      <c r="E725" s="140"/>
      <c r="F725" s="140"/>
      <c r="G725" s="158">
        <f t="shared" si="177"/>
        <v>2000</v>
      </c>
      <c r="H725" s="158">
        <f t="shared" si="177"/>
        <v>855.37296000000003</v>
      </c>
      <c r="I725" s="158">
        <f t="shared" si="177"/>
        <v>1369</v>
      </c>
      <c r="J725" s="158">
        <f t="shared" si="168"/>
        <v>68.45</v>
      </c>
    </row>
    <row r="726" spans="1:10" s="208" customFormat="1">
      <c r="A726" s="173" t="s">
        <v>67</v>
      </c>
      <c r="B726" s="140" t="s">
        <v>572</v>
      </c>
      <c r="C726" s="140" t="s">
        <v>376</v>
      </c>
      <c r="D726" s="140" t="s">
        <v>423</v>
      </c>
      <c r="E726" s="140" t="s">
        <v>187</v>
      </c>
      <c r="F726" s="140"/>
      <c r="G726" s="175">
        <f t="shared" si="177"/>
        <v>2000</v>
      </c>
      <c r="H726" s="175">
        <f t="shared" si="177"/>
        <v>855.37296000000003</v>
      </c>
      <c r="I726" s="175">
        <f t="shared" si="177"/>
        <v>1369</v>
      </c>
      <c r="J726" s="175">
        <f t="shared" si="168"/>
        <v>68.45</v>
      </c>
    </row>
    <row r="727" spans="1:10" s="208" customFormat="1">
      <c r="A727" s="133" t="s">
        <v>272</v>
      </c>
      <c r="B727" s="132" t="s">
        <v>572</v>
      </c>
      <c r="C727" s="132" t="s">
        <v>376</v>
      </c>
      <c r="D727" s="132" t="s">
        <v>423</v>
      </c>
      <c r="E727" s="132" t="s">
        <v>188</v>
      </c>
      <c r="F727" s="132"/>
      <c r="G727" s="158">
        <f t="shared" si="177"/>
        <v>2000</v>
      </c>
      <c r="H727" s="158">
        <f t="shared" si="177"/>
        <v>855.37296000000003</v>
      </c>
      <c r="I727" s="158">
        <f t="shared" si="177"/>
        <v>1369</v>
      </c>
      <c r="J727" s="158">
        <f t="shared" si="168"/>
        <v>68.45</v>
      </c>
    </row>
    <row r="728" spans="1:10" s="208" customFormat="1">
      <c r="A728" s="133" t="s">
        <v>502</v>
      </c>
      <c r="B728" s="132" t="s">
        <v>572</v>
      </c>
      <c r="C728" s="132" t="s">
        <v>376</v>
      </c>
      <c r="D728" s="132" t="s">
        <v>423</v>
      </c>
      <c r="E728" s="210" t="s">
        <v>310</v>
      </c>
      <c r="F728" s="132"/>
      <c r="G728" s="158">
        <f t="shared" si="177"/>
        <v>2000</v>
      </c>
      <c r="H728" s="158">
        <f t="shared" si="177"/>
        <v>855.37296000000003</v>
      </c>
      <c r="I728" s="158">
        <f t="shared" si="177"/>
        <v>1369</v>
      </c>
      <c r="J728" s="158">
        <f t="shared" si="168"/>
        <v>68.45</v>
      </c>
    </row>
    <row r="729" spans="1:10" s="208" customFormat="1">
      <c r="A729" s="131" t="s">
        <v>486</v>
      </c>
      <c r="B729" s="22" t="s">
        <v>572</v>
      </c>
      <c r="C729" s="22" t="s">
        <v>376</v>
      </c>
      <c r="D729" s="22" t="s">
        <v>423</v>
      </c>
      <c r="E729" s="211" t="s">
        <v>310</v>
      </c>
      <c r="F729" s="22" t="s">
        <v>77</v>
      </c>
      <c r="G729" s="156">
        <f t="shared" si="177"/>
        <v>2000</v>
      </c>
      <c r="H729" s="156">
        <f t="shared" si="177"/>
        <v>855.37296000000003</v>
      </c>
      <c r="I729" s="156">
        <f t="shared" si="177"/>
        <v>1369</v>
      </c>
      <c r="J729" s="156">
        <f t="shared" si="168"/>
        <v>68.45</v>
      </c>
    </row>
    <row r="730" spans="1:10" s="208" customFormat="1">
      <c r="A730" s="131" t="s">
        <v>78</v>
      </c>
      <c r="B730" s="22" t="s">
        <v>572</v>
      </c>
      <c r="C730" s="22" t="s">
        <v>376</v>
      </c>
      <c r="D730" s="22" t="s">
        <v>423</v>
      </c>
      <c r="E730" s="211" t="s">
        <v>310</v>
      </c>
      <c r="F730" s="22" t="s">
        <v>79</v>
      </c>
      <c r="G730" s="156">
        <v>2000</v>
      </c>
      <c r="H730" s="156">
        <v>855.37296000000003</v>
      </c>
      <c r="I730" s="156">
        <f>2000-500-131</f>
        <v>1369</v>
      </c>
      <c r="J730" s="156">
        <f t="shared" si="168"/>
        <v>68.45</v>
      </c>
    </row>
    <row r="731" spans="1:10" s="208" customFormat="1">
      <c r="A731" s="133" t="s">
        <v>338</v>
      </c>
      <c r="B731" s="132" t="s">
        <v>572</v>
      </c>
      <c r="C731" s="132" t="s">
        <v>430</v>
      </c>
      <c r="D731" s="132" t="s">
        <v>70</v>
      </c>
      <c r="E731" s="22"/>
      <c r="F731" s="22"/>
      <c r="G731" s="158">
        <f t="shared" ref="G731:I736" si="178">G732</f>
        <v>30</v>
      </c>
      <c r="H731" s="158">
        <f t="shared" si="178"/>
        <v>25.8338</v>
      </c>
      <c r="I731" s="158">
        <f t="shared" si="178"/>
        <v>30</v>
      </c>
      <c r="J731" s="158">
        <f t="shared" si="168"/>
        <v>100</v>
      </c>
    </row>
    <row r="732" spans="1:10" s="208" customFormat="1">
      <c r="A732" s="133" t="s">
        <v>568</v>
      </c>
      <c r="B732" s="132" t="s">
        <v>572</v>
      </c>
      <c r="C732" s="132" t="s">
        <v>430</v>
      </c>
      <c r="D732" s="132" t="s">
        <v>430</v>
      </c>
      <c r="E732" s="132"/>
      <c r="F732" s="132"/>
      <c r="G732" s="158">
        <f t="shared" si="178"/>
        <v>30</v>
      </c>
      <c r="H732" s="158">
        <f t="shared" si="178"/>
        <v>25.8338</v>
      </c>
      <c r="I732" s="158">
        <f t="shared" si="178"/>
        <v>30</v>
      </c>
      <c r="J732" s="158">
        <f t="shared" si="168"/>
        <v>100</v>
      </c>
    </row>
    <row r="733" spans="1:10" s="208" customFormat="1">
      <c r="A733" s="173" t="s">
        <v>67</v>
      </c>
      <c r="B733" s="140" t="s">
        <v>572</v>
      </c>
      <c r="C733" s="140" t="s">
        <v>430</v>
      </c>
      <c r="D733" s="140" t="s">
        <v>430</v>
      </c>
      <c r="E733" s="140" t="s">
        <v>187</v>
      </c>
      <c r="F733" s="140"/>
      <c r="G733" s="175">
        <f t="shared" si="178"/>
        <v>30</v>
      </c>
      <c r="H733" s="175">
        <f t="shared" si="178"/>
        <v>25.8338</v>
      </c>
      <c r="I733" s="175">
        <f t="shared" si="178"/>
        <v>30</v>
      </c>
      <c r="J733" s="175">
        <f t="shared" si="168"/>
        <v>100</v>
      </c>
    </row>
    <row r="734" spans="1:10" s="208" customFormat="1">
      <c r="A734" s="212" t="s">
        <v>272</v>
      </c>
      <c r="B734" s="132" t="s">
        <v>572</v>
      </c>
      <c r="C734" s="132" t="s">
        <v>430</v>
      </c>
      <c r="D734" s="132" t="s">
        <v>430</v>
      </c>
      <c r="E734" s="132" t="s">
        <v>188</v>
      </c>
      <c r="F734" s="132"/>
      <c r="G734" s="158">
        <f t="shared" si="178"/>
        <v>30</v>
      </c>
      <c r="H734" s="158">
        <f t="shared" si="178"/>
        <v>25.8338</v>
      </c>
      <c r="I734" s="158">
        <f t="shared" si="178"/>
        <v>30</v>
      </c>
      <c r="J734" s="158">
        <f t="shared" si="168"/>
        <v>100</v>
      </c>
    </row>
    <row r="735" spans="1:10" s="208" customFormat="1">
      <c r="A735" s="173" t="s">
        <v>290</v>
      </c>
      <c r="B735" s="140" t="s">
        <v>572</v>
      </c>
      <c r="C735" s="140" t="s">
        <v>430</v>
      </c>
      <c r="D735" s="140" t="s">
        <v>430</v>
      </c>
      <c r="E735" s="140" t="s">
        <v>477</v>
      </c>
      <c r="F735" s="140"/>
      <c r="G735" s="175">
        <f t="shared" si="178"/>
        <v>30</v>
      </c>
      <c r="H735" s="175">
        <f t="shared" si="178"/>
        <v>25.8338</v>
      </c>
      <c r="I735" s="175">
        <f t="shared" si="178"/>
        <v>30</v>
      </c>
      <c r="J735" s="175">
        <f t="shared" si="168"/>
        <v>100</v>
      </c>
    </row>
    <row r="736" spans="1:10" s="208" customFormat="1">
      <c r="A736" s="131" t="s">
        <v>486</v>
      </c>
      <c r="B736" s="22" t="s">
        <v>572</v>
      </c>
      <c r="C736" s="22" t="s">
        <v>430</v>
      </c>
      <c r="D736" s="22" t="s">
        <v>430</v>
      </c>
      <c r="E736" s="22" t="s">
        <v>477</v>
      </c>
      <c r="F736" s="22" t="s">
        <v>77</v>
      </c>
      <c r="G736" s="156">
        <f t="shared" si="178"/>
        <v>30</v>
      </c>
      <c r="H736" s="156">
        <f t="shared" si="178"/>
        <v>25.8338</v>
      </c>
      <c r="I736" s="156">
        <f t="shared" si="178"/>
        <v>30</v>
      </c>
      <c r="J736" s="156">
        <f t="shared" si="168"/>
        <v>100</v>
      </c>
    </row>
    <row r="737" spans="1:10" s="208" customFormat="1">
      <c r="A737" s="131" t="s">
        <v>78</v>
      </c>
      <c r="B737" s="22" t="s">
        <v>572</v>
      </c>
      <c r="C737" s="22" t="s">
        <v>430</v>
      </c>
      <c r="D737" s="22" t="s">
        <v>430</v>
      </c>
      <c r="E737" s="22" t="s">
        <v>477</v>
      </c>
      <c r="F737" s="22" t="s">
        <v>79</v>
      </c>
      <c r="G737" s="156">
        <f>187.5-157.5</f>
        <v>30</v>
      </c>
      <c r="H737" s="156">
        <v>25.8338</v>
      </c>
      <c r="I737" s="156">
        <f>187.5-157.5</f>
        <v>30</v>
      </c>
      <c r="J737" s="156">
        <f t="shared" si="168"/>
        <v>100</v>
      </c>
    </row>
    <row r="738" spans="1:10" ht="31.5">
      <c r="A738" s="213" t="s">
        <v>368</v>
      </c>
      <c r="B738" s="214" t="s">
        <v>369</v>
      </c>
      <c r="C738" s="151"/>
      <c r="D738" s="151"/>
      <c r="E738" s="140"/>
      <c r="F738" s="214"/>
      <c r="G738" s="215">
        <f>G739+G746+G753</f>
        <v>472622.80829999998</v>
      </c>
      <c r="H738" s="215">
        <f>H739+H746+H753</f>
        <v>227802.49763</v>
      </c>
      <c r="I738" s="215">
        <f>I739+I746+I753</f>
        <v>428532.33924999996</v>
      </c>
      <c r="J738" s="215">
        <f t="shared" si="168"/>
        <v>90.671108487423368</v>
      </c>
    </row>
    <row r="739" spans="1:10">
      <c r="A739" s="133" t="s">
        <v>103</v>
      </c>
      <c r="B739" s="132" t="s">
        <v>369</v>
      </c>
      <c r="C739" s="132" t="s">
        <v>69</v>
      </c>
      <c r="D739" s="132" t="s">
        <v>70</v>
      </c>
      <c r="E739" s="132"/>
      <c r="F739" s="132"/>
      <c r="G739" s="158">
        <f t="shared" ref="G739:I742" si="179">G740</f>
        <v>1000</v>
      </c>
      <c r="H739" s="158">
        <f t="shared" si="179"/>
        <v>375.58897000000002</v>
      </c>
      <c r="I739" s="158">
        <f t="shared" si="179"/>
        <v>1000</v>
      </c>
      <c r="J739" s="158">
        <f t="shared" ref="J739:J802" si="180">I739/G739*100</f>
        <v>100</v>
      </c>
    </row>
    <row r="740" spans="1:10" s="208" customFormat="1">
      <c r="A740" s="133" t="s">
        <v>285</v>
      </c>
      <c r="B740" s="132" t="s">
        <v>369</v>
      </c>
      <c r="C740" s="132" t="s">
        <v>69</v>
      </c>
      <c r="D740" s="132" t="s">
        <v>86</v>
      </c>
      <c r="E740" s="132"/>
      <c r="F740" s="132"/>
      <c r="G740" s="158">
        <f t="shared" si="179"/>
        <v>1000</v>
      </c>
      <c r="H740" s="158">
        <f t="shared" si="179"/>
        <v>375.58897000000002</v>
      </c>
      <c r="I740" s="158">
        <f t="shared" si="179"/>
        <v>1000</v>
      </c>
      <c r="J740" s="158">
        <f t="shared" si="180"/>
        <v>100</v>
      </c>
    </row>
    <row r="741" spans="1:10" s="208" customFormat="1">
      <c r="A741" s="133" t="s">
        <v>272</v>
      </c>
      <c r="B741" s="132" t="s">
        <v>369</v>
      </c>
      <c r="C741" s="132" t="s">
        <v>69</v>
      </c>
      <c r="D741" s="132" t="s">
        <v>86</v>
      </c>
      <c r="E741" s="210" t="s">
        <v>188</v>
      </c>
      <c r="F741" s="132"/>
      <c r="G741" s="158">
        <f t="shared" si="179"/>
        <v>1000</v>
      </c>
      <c r="H741" s="158">
        <f t="shared" si="179"/>
        <v>375.58897000000002</v>
      </c>
      <c r="I741" s="158">
        <f t="shared" si="179"/>
        <v>1000</v>
      </c>
      <c r="J741" s="158">
        <f t="shared" si="180"/>
        <v>100</v>
      </c>
    </row>
    <row r="742" spans="1:10" s="208" customFormat="1">
      <c r="A742" s="224" t="s">
        <v>286</v>
      </c>
      <c r="B742" s="140" t="s">
        <v>369</v>
      </c>
      <c r="C742" s="140" t="s">
        <v>69</v>
      </c>
      <c r="D742" s="140" t="s">
        <v>86</v>
      </c>
      <c r="E742" s="231" t="s">
        <v>525</v>
      </c>
      <c r="F742" s="140"/>
      <c r="G742" s="175">
        <f t="shared" si="179"/>
        <v>1000</v>
      </c>
      <c r="H742" s="175">
        <f t="shared" si="179"/>
        <v>375.58897000000002</v>
      </c>
      <c r="I742" s="175">
        <f t="shared" si="179"/>
        <v>1000</v>
      </c>
      <c r="J742" s="175">
        <f t="shared" si="180"/>
        <v>100</v>
      </c>
    </row>
    <row r="743" spans="1:10" s="208" customFormat="1">
      <c r="A743" s="131" t="s">
        <v>80</v>
      </c>
      <c r="B743" s="22" t="s">
        <v>369</v>
      </c>
      <c r="C743" s="22" t="s">
        <v>69</v>
      </c>
      <c r="D743" s="22" t="s">
        <v>86</v>
      </c>
      <c r="E743" s="211" t="s">
        <v>525</v>
      </c>
      <c r="F743" s="22" t="s">
        <v>81</v>
      </c>
      <c r="G743" s="156">
        <f>G744+G745</f>
        <v>1000</v>
      </c>
      <c r="H743" s="156">
        <f>H744+H745</f>
        <v>375.58897000000002</v>
      </c>
      <c r="I743" s="156">
        <f>I744+I745</f>
        <v>1000</v>
      </c>
      <c r="J743" s="156">
        <f t="shared" si="180"/>
        <v>100</v>
      </c>
    </row>
    <row r="744" spans="1:10" s="208" customFormat="1">
      <c r="A744" s="131" t="s">
        <v>133</v>
      </c>
      <c r="B744" s="22" t="s">
        <v>369</v>
      </c>
      <c r="C744" s="22" t="s">
        <v>69</v>
      </c>
      <c r="D744" s="22" t="s">
        <v>86</v>
      </c>
      <c r="E744" s="211" t="s">
        <v>525</v>
      </c>
      <c r="F744" s="22" t="s">
        <v>136</v>
      </c>
      <c r="G744" s="156">
        <f>950-375.58897</f>
        <v>574.41102999999998</v>
      </c>
      <c r="H744" s="323">
        <v>0</v>
      </c>
      <c r="I744" s="156">
        <f>950-375.58897</f>
        <v>574.41102999999998</v>
      </c>
      <c r="J744" s="156">
        <f t="shared" si="180"/>
        <v>100</v>
      </c>
    </row>
    <row r="745" spans="1:10" s="208" customFormat="1">
      <c r="A745" s="131" t="s">
        <v>445</v>
      </c>
      <c r="B745" s="22" t="s">
        <v>369</v>
      </c>
      <c r="C745" s="22" t="s">
        <v>69</v>
      </c>
      <c r="D745" s="22" t="s">
        <v>86</v>
      </c>
      <c r="E745" s="211" t="s">
        <v>525</v>
      </c>
      <c r="F745" s="22" t="s">
        <v>82</v>
      </c>
      <c r="G745" s="156">
        <f>50+375.58897</f>
        <v>425.58897000000002</v>
      </c>
      <c r="H745" s="156">
        <v>375.58897000000002</v>
      </c>
      <c r="I745" s="156">
        <f>50+375.58897</f>
        <v>425.58897000000002</v>
      </c>
      <c r="J745" s="156">
        <f t="shared" si="180"/>
        <v>100</v>
      </c>
    </row>
    <row r="746" spans="1:10" s="208" customFormat="1">
      <c r="A746" s="133" t="s">
        <v>321</v>
      </c>
      <c r="B746" s="132" t="s">
        <v>369</v>
      </c>
      <c r="C746" s="132" t="s">
        <v>71</v>
      </c>
      <c r="D746" s="132" t="s">
        <v>70</v>
      </c>
      <c r="E746" s="140"/>
      <c r="F746" s="140"/>
      <c r="G746" s="158">
        <f t="shared" ref="G746:I751" si="181">G747</f>
        <v>2000</v>
      </c>
      <c r="H746" s="158">
        <f t="shared" si="181"/>
        <v>1604.6759999999999</v>
      </c>
      <c r="I746" s="158">
        <f t="shared" si="181"/>
        <v>2000</v>
      </c>
      <c r="J746" s="158">
        <f t="shared" si="180"/>
        <v>100</v>
      </c>
    </row>
    <row r="747" spans="1:10" s="208" customFormat="1">
      <c r="A747" s="133" t="s">
        <v>359</v>
      </c>
      <c r="B747" s="132" t="s">
        <v>369</v>
      </c>
      <c r="C747" s="132" t="s">
        <v>71</v>
      </c>
      <c r="D747" s="132" t="s">
        <v>429</v>
      </c>
      <c r="E747" s="140"/>
      <c r="F747" s="140"/>
      <c r="G747" s="158">
        <f t="shared" si="181"/>
        <v>2000</v>
      </c>
      <c r="H747" s="158">
        <f t="shared" si="181"/>
        <v>1604.6759999999999</v>
      </c>
      <c r="I747" s="158">
        <f t="shared" si="181"/>
        <v>2000</v>
      </c>
      <c r="J747" s="158">
        <f t="shared" si="180"/>
        <v>100</v>
      </c>
    </row>
    <row r="748" spans="1:10" s="208" customFormat="1" ht="27">
      <c r="A748" s="174" t="s">
        <v>622</v>
      </c>
      <c r="B748" s="144" t="s">
        <v>369</v>
      </c>
      <c r="C748" s="144" t="s">
        <v>71</v>
      </c>
      <c r="D748" s="144" t="s">
        <v>429</v>
      </c>
      <c r="E748" s="144" t="s">
        <v>215</v>
      </c>
      <c r="F748" s="144"/>
      <c r="G748" s="218">
        <f t="shared" si="181"/>
        <v>2000</v>
      </c>
      <c r="H748" s="218">
        <f t="shared" si="181"/>
        <v>1604.6759999999999</v>
      </c>
      <c r="I748" s="218">
        <f t="shared" si="181"/>
        <v>2000</v>
      </c>
      <c r="J748" s="218">
        <f t="shared" si="180"/>
        <v>100</v>
      </c>
    </row>
    <row r="749" spans="1:10" s="208" customFormat="1">
      <c r="A749" s="133" t="s">
        <v>498</v>
      </c>
      <c r="B749" s="132" t="s">
        <v>369</v>
      </c>
      <c r="C749" s="132" t="s">
        <v>71</v>
      </c>
      <c r="D749" s="132" t="s">
        <v>429</v>
      </c>
      <c r="E749" s="132" t="s">
        <v>216</v>
      </c>
      <c r="F749" s="22"/>
      <c r="G749" s="158">
        <f t="shared" si="181"/>
        <v>2000</v>
      </c>
      <c r="H749" s="158">
        <f t="shared" si="181"/>
        <v>1604.6759999999999</v>
      </c>
      <c r="I749" s="158">
        <f t="shared" si="181"/>
        <v>2000</v>
      </c>
      <c r="J749" s="158">
        <f t="shared" si="180"/>
        <v>100</v>
      </c>
    </row>
    <row r="750" spans="1:10" s="208" customFormat="1">
      <c r="A750" s="236" t="s">
        <v>623</v>
      </c>
      <c r="B750" s="140" t="s">
        <v>369</v>
      </c>
      <c r="C750" s="140" t="s">
        <v>71</v>
      </c>
      <c r="D750" s="140" t="s">
        <v>429</v>
      </c>
      <c r="E750" s="245" t="s">
        <v>624</v>
      </c>
      <c r="F750" s="140"/>
      <c r="G750" s="175">
        <f t="shared" si="181"/>
        <v>2000</v>
      </c>
      <c r="H750" s="175">
        <f t="shared" si="181"/>
        <v>1604.6759999999999</v>
      </c>
      <c r="I750" s="175">
        <f t="shared" si="181"/>
        <v>2000</v>
      </c>
      <c r="J750" s="175">
        <f t="shared" si="180"/>
        <v>100</v>
      </c>
    </row>
    <row r="751" spans="1:10" s="208" customFormat="1">
      <c r="A751" s="131" t="s">
        <v>486</v>
      </c>
      <c r="B751" s="22" t="s">
        <v>369</v>
      </c>
      <c r="C751" s="22" t="s">
        <v>71</v>
      </c>
      <c r="D751" s="22" t="s">
        <v>429</v>
      </c>
      <c r="E751" s="22" t="s">
        <v>624</v>
      </c>
      <c r="F751" s="22" t="s">
        <v>77</v>
      </c>
      <c r="G751" s="156">
        <f t="shared" si="181"/>
        <v>2000</v>
      </c>
      <c r="H751" s="156">
        <f t="shared" si="181"/>
        <v>1604.6759999999999</v>
      </c>
      <c r="I751" s="156">
        <f t="shared" si="181"/>
        <v>2000</v>
      </c>
      <c r="J751" s="156">
        <f t="shared" si="180"/>
        <v>100</v>
      </c>
    </row>
    <row r="752" spans="1:10" s="208" customFormat="1">
      <c r="A752" s="131" t="s">
        <v>78</v>
      </c>
      <c r="B752" s="22" t="s">
        <v>369</v>
      </c>
      <c r="C752" s="22" t="s">
        <v>71</v>
      </c>
      <c r="D752" s="22" t="s">
        <v>429</v>
      </c>
      <c r="E752" s="22" t="s">
        <v>624</v>
      </c>
      <c r="F752" s="22" t="s">
        <v>79</v>
      </c>
      <c r="G752" s="156">
        <f>2000</f>
        <v>2000</v>
      </c>
      <c r="H752" s="156">
        <v>1604.6759999999999</v>
      </c>
      <c r="I752" s="156">
        <f>2000</f>
        <v>2000</v>
      </c>
      <c r="J752" s="156">
        <f t="shared" si="180"/>
        <v>100</v>
      </c>
    </row>
    <row r="753" spans="1:10" s="208" customFormat="1">
      <c r="A753" s="133" t="s">
        <v>333</v>
      </c>
      <c r="B753" s="132" t="s">
        <v>369</v>
      </c>
      <c r="C753" s="132" t="s">
        <v>376</v>
      </c>
      <c r="D753" s="132" t="s">
        <v>70</v>
      </c>
      <c r="E753" s="132"/>
      <c r="F753" s="132"/>
      <c r="G753" s="158">
        <f>G754+G789+G814+G826</f>
        <v>469622.80829999998</v>
      </c>
      <c r="H753" s="158">
        <f>H754+H789+H814+H826</f>
        <v>225822.23266000001</v>
      </c>
      <c r="I753" s="158">
        <f>I754+I789+I814+I826</f>
        <v>425532.33924999996</v>
      </c>
      <c r="J753" s="158">
        <f t="shared" si="180"/>
        <v>90.611514545129467</v>
      </c>
    </row>
    <row r="754" spans="1:10" s="208" customFormat="1">
      <c r="A754" s="133" t="s">
        <v>334</v>
      </c>
      <c r="B754" s="132" t="s">
        <v>369</v>
      </c>
      <c r="C754" s="132" t="s">
        <v>376</v>
      </c>
      <c r="D754" s="132" t="s">
        <v>69</v>
      </c>
      <c r="E754" s="140"/>
      <c r="F754" s="140"/>
      <c r="G754" s="158">
        <f>G755</f>
        <v>192957.53129999997</v>
      </c>
      <c r="H754" s="158">
        <f>H755</f>
        <v>38354.482909999999</v>
      </c>
      <c r="I754" s="158">
        <f>I755</f>
        <v>182177.53129999997</v>
      </c>
      <c r="J754" s="158">
        <f t="shared" si="180"/>
        <v>94.413278441441179</v>
      </c>
    </row>
    <row r="755" spans="1:10" s="208" customFormat="1" ht="27">
      <c r="A755" s="174" t="s">
        <v>622</v>
      </c>
      <c r="B755" s="144" t="s">
        <v>369</v>
      </c>
      <c r="C755" s="144" t="s">
        <v>376</v>
      </c>
      <c r="D755" s="144" t="s">
        <v>69</v>
      </c>
      <c r="E755" s="144" t="s">
        <v>215</v>
      </c>
      <c r="F755" s="140"/>
      <c r="G755" s="218">
        <f>G756+G763+G773</f>
        <v>192957.53129999997</v>
      </c>
      <c r="H755" s="218">
        <f>H756+H763+H773</f>
        <v>38354.482909999999</v>
      </c>
      <c r="I755" s="218">
        <f>I756+I763+I773</f>
        <v>182177.53129999997</v>
      </c>
      <c r="J755" s="218">
        <f t="shared" si="180"/>
        <v>94.413278441441179</v>
      </c>
    </row>
    <row r="756" spans="1:10" s="208" customFormat="1">
      <c r="A756" s="133" t="s">
        <v>625</v>
      </c>
      <c r="B756" s="132" t="s">
        <v>369</v>
      </c>
      <c r="C756" s="132" t="s">
        <v>376</v>
      </c>
      <c r="D756" s="132" t="s">
        <v>69</v>
      </c>
      <c r="E756" s="132" t="s">
        <v>217</v>
      </c>
      <c r="F756" s="132"/>
      <c r="G756" s="158">
        <f>G757+G760</f>
        <v>4000</v>
      </c>
      <c r="H756" s="158">
        <f>H757+H760</f>
        <v>665.99599999999998</v>
      </c>
      <c r="I756" s="158">
        <f>I757+I760</f>
        <v>1000</v>
      </c>
      <c r="J756" s="158">
        <f t="shared" si="180"/>
        <v>25</v>
      </c>
    </row>
    <row r="757" spans="1:10" s="208" customFormat="1">
      <c r="A757" s="224" t="s">
        <v>626</v>
      </c>
      <c r="B757" s="140" t="s">
        <v>369</v>
      </c>
      <c r="C757" s="140" t="s">
        <v>376</v>
      </c>
      <c r="D757" s="140" t="s">
        <v>69</v>
      </c>
      <c r="E757" s="140" t="s">
        <v>627</v>
      </c>
      <c r="F757" s="140"/>
      <c r="G757" s="220">
        <f t="shared" ref="G757:I758" si="182">G758</f>
        <v>2000</v>
      </c>
      <c r="H757" s="220">
        <f t="shared" si="182"/>
        <v>0</v>
      </c>
      <c r="I757" s="220">
        <f t="shared" si="182"/>
        <v>0</v>
      </c>
      <c r="J757" s="220">
        <f t="shared" si="180"/>
        <v>0</v>
      </c>
    </row>
    <row r="758" spans="1:10" s="208" customFormat="1">
      <c r="A758" s="131" t="s">
        <v>486</v>
      </c>
      <c r="B758" s="22" t="s">
        <v>369</v>
      </c>
      <c r="C758" s="22" t="s">
        <v>376</v>
      </c>
      <c r="D758" s="22" t="s">
        <v>69</v>
      </c>
      <c r="E758" s="22" t="s">
        <v>627</v>
      </c>
      <c r="F758" s="22" t="s">
        <v>77</v>
      </c>
      <c r="G758" s="176">
        <f t="shared" si="182"/>
        <v>2000</v>
      </c>
      <c r="H758" s="176">
        <f t="shared" si="182"/>
        <v>0</v>
      </c>
      <c r="I758" s="176">
        <f t="shared" si="182"/>
        <v>0</v>
      </c>
      <c r="J758" s="176">
        <f t="shared" si="180"/>
        <v>0</v>
      </c>
    </row>
    <row r="759" spans="1:10" s="208" customFormat="1">
      <c r="A759" s="131" t="s">
        <v>78</v>
      </c>
      <c r="B759" s="22" t="s">
        <v>369</v>
      </c>
      <c r="C759" s="22" t="s">
        <v>376</v>
      </c>
      <c r="D759" s="22" t="s">
        <v>69</v>
      </c>
      <c r="E759" s="22" t="s">
        <v>627</v>
      </c>
      <c r="F759" s="22" t="s">
        <v>79</v>
      </c>
      <c r="G759" s="176">
        <f>2000</f>
        <v>2000</v>
      </c>
      <c r="H759" s="176">
        <f>2000-2000</f>
        <v>0</v>
      </c>
      <c r="I759" s="176">
        <f>2000-2000</f>
        <v>0</v>
      </c>
      <c r="J759" s="176">
        <f t="shared" si="180"/>
        <v>0</v>
      </c>
    </row>
    <row r="760" spans="1:10" s="208" customFormat="1">
      <c r="A760" s="224" t="s">
        <v>218</v>
      </c>
      <c r="B760" s="140" t="s">
        <v>369</v>
      </c>
      <c r="C760" s="140" t="s">
        <v>376</v>
      </c>
      <c r="D760" s="140" t="s">
        <v>69</v>
      </c>
      <c r="E760" s="140" t="s">
        <v>628</v>
      </c>
      <c r="F760" s="140"/>
      <c r="G760" s="175">
        <f t="shared" ref="G760:I761" si="183">G761</f>
        <v>2000</v>
      </c>
      <c r="H760" s="175">
        <f t="shared" si="183"/>
        <v>665.99599999999998</v>
      </c>
      <c r="I760" s="175">
        <f t="shared" si="183"/>
        <v>1000</v>
      </c>
      <c r="J760" s="175">
        <f t="shared" si="180"/>
        <v>50</v>
      </c>
    </row>
    <row r="761" spans="1:10" s="208" customFormat="1">
      <c r="A761" s="131" t="s">
        <v>486</v>
      </c>
      <c r="B761" s="22" t="s">
        <v>369</v>
      </c>
      <c r="C761" s="22" t="s">
        <v>376</v>
      </c>
      <c r="D761" s="22" t="s">
        <v>69</v>
      </c>
      <c r="E761" s="22" t="s">
        <v>628</v>
      </c>
      <c r="F761" s="22" t="s">
        <v>77</v>
      </c>
      <c r="G761" s="156">
        <f t="shared" si="183"/>
        <v>2000</v>
      </c>
      <c r="H761" s="156">
        <f t="shared" si="183"/>
        <v>665.99599999999998</v>
      </c>
      <c r="I761" s="156">
        <f t="shared" si="183"/>
        <v>1000</v>
      </c>
      <c r="J761" s="156">
        <f t="shared" si="180"/>
        <v>50</v>
      </c>
    </row>
    <row r="762" spans="1:10" s="208" customFormat="1">
      <c r="A762" s="131" t="s">
        <v>78</v>
      </c>
      <c r="B762" s="22" t="s">
        <v>369</v>
      </c>
      <c r="C762" s="22" t="s">
        <v>376</v>
      </c>
      <c r="D762" s="22" t="s">
        <v>69</v>
      </c>
      <c r="E762" s="22" t="s">
        <v>628</v>
      </c>
      <c r="F762" s="22" t="s">
        <v>79</v>
      </c>
      <c r="G762" s="156">
        <f>2000-1000+1000</f>
        <v>2000</v>
      </c>
      <c r="H762" s="156">
        <v>665.99599999999998</v>
      </c>
      <c r="I762" s="156">
        <f>2000-1000+1000-1000</f>
        <v>1000</v>
      </c>
      <c r="J762" s="156">
        <f t="shared" si="180"/>
        <v>50</v>
      </c>
    </row>
    <row r="763" spans="1:10" s="219" customFormat="1">
      <c r="A763" s="133" t="s">
        <v>629</v>
      </c>
      <c r="B763" s="132" t="s">
        <v>394</v>
      </c>
      <c r="C763" s="132" t="s">
        <v>376</v>
      </c>
      <c r="D763" s="132" t="s">
        <v>69</v>
      </c>
      <c r="E763" s="132" t="s">
        <v>440</v>
      </c>
      <c r="F763" s="22"/>
      <c r="G763" s="158">
        <f>G764+G767+G770</f>
        <v>11100</v>
      </c>
      <c r="H763" s="158">
        <f>H764+H767+H770</f>
        <v>5968.7110000000002</v>
      </c>
      <c r="I763" s="158">
        <f>I764+I767+I770</f>
        <v>8100</v>
      </c>
      <c r="J763" s="158">
        <f t="shared" si="180"/>
        <v>72.972972972972968</v>
      </c>
    </row>
    <row r="764" spans="1:10" s="219" customFormat="1">
      <c r="A764" s="240" t="s">
        <v>630</v>
      </c>
      <c r="B764" s="140" t="s">
        <v>394</v>
      </c>
      <c r="C764" s="140" t="s">
        <v>376</v>
      </c>
      <c r="D764" s="140" t="s">
        <v>69</v>
      </c>
      <c r="E764" s="140" t="s">
        <v>631</v>
      </c>
      <c r="F764" s="140"/>
      <c r="G764" s="175">
        <f t="shared" ref="G764:I765" si="184">G765</f>
        <v>500</v>
      </c>
      <c r="H764" s="325">
        <f t="shared" si="184"/>
        <v>0</v>
      </c>
      <c r="I764" s="175">
        <f t="shared" si="184"/>
        <v>500</v>
      </c>
      <c r="J764" s="175">
        <f t="shared" si="180"/>
        <v>100</v>
      </c>
    </row>
    <row r="765" spans="1:10" s="219" customFormat="1">
      <c r="A765" s="131" t="s">
        <v>486</v>
      </c>
      <c r="B765" s="22" t="s">
        <v>369</v>
      </c>
      <c r="C765" s="22" t="s">
        <v>376</v>
      </c>
      <c r="D765" s="22" t="s">
        <v>69</v>
      </c>
      <c r="E765" s="22" t="s">
        <v>631</v>
      </c>
      <c r="F765" s="22" t="s">
        <v>77</v>
      </c>
      <c r="G765" s="156">
        <f t="shared" si="184"/>
        <v>500</v>
      </c>
      <c r="H765" s="323">
        <f t="shared" si="184"/>
        <v>0</v>
      </c>
      <c r="I765" s="156">
        <f t="shared" si="184"/>
        <v>500</v>
      </c>
      <c r="J765" s="156">
        <f t="shared" si="180"/>
        <v>100</v>
      </c>
    </row>
    <row r="766" spans="1:10" s="219" customFormat="1">
      <c r="A766" s="131" t="s">
        <v>78</v>
      </c>
      <c r="B766" s="22" t="s">
        <v>369</v>
      </c>
      <c r="C766" s="22" t="s">
        <v>376</v>
      </c>
      <c r="D766" s="22" t="s">
        <v>69</v>
      </c>
      <c r="E766" s="22" t="s">
        <v>631</v>
      </c>
      <c r="F766" s="22" t="s">
        <v>79</v>
      </c>
      <c r="G766" s="156">
        <v>500</v>
      </c>
      <c r="H766" s="323">
        <v>0</v>
      </c>
      <c r="I766" s="156">
        <v>500</v>
      </c>
      <c r="J766" s="156">
        <f t="shared" si="180"/>
        <v>100</v>
      </c>
    </row>
    <row r="767" spans="1:10" s="219" customFormat="1" ht="24">
      <c r="A767" s="224" t="s">
        <v>499</v>
      </c>
      <c r="B767" s="140" t="s">
        <v>394</v>
      </c>
      <c r="C767" s="140" t="s">
        <v>376</v>
      </c>
      <c r="D767" s="140" t="s">
        <v>69</v>
      </c>
      <c r="E767" s="140" t="s">
        <v>632</v>
      </c>
      <c r="F767" s="140"/>
      <c r="G767" s="175">
        <f t="shared" ref="G767:I768" si="185">G768</f>
        <v>500</v>
      </c>
      <c r="H767" s="325">
        <f t="shared" si="185"/>
        <v>0</v>
      </c>
      <c r="I767" s="175">
        <f t="shared" si="185"/>
        <v>500</v>
      </c>
      <c r="J767" s="175">
        <f t="shared" si="180"/>
        <v>100</v>
      </c>
    </row>
    <row r="768" spans="1:10" s="219" customFormat="1">
      <c r="A768" s="131" t="s">
        <v>486</v>
      </c>
      <c r="B768" s="22" t="s">
        <v>369</v>
      </c>
      <c r="C768" s="22" t="s">
        <v>376</v>
      </c>
      <c r="D768" s="22" t="s">
        <v>69</v>
      </c>
      <c r="E768" s="22" t="s">
        <v>632</v>
      </c>
      <c r="F768" s="22" t="s">
        <v>77</v>
      </c>
      <c r="G768" s="156">
        <f t="shared" si="185"/>
        <v>500</v>
      </c>
      <c r="H768" s="323">
        <f t="shared" si="185"/>
        <v>0</v>
      </c>
      <c r="I768" s="156">
        <f t="shared" si="185"/>
        <v>500</v>
      </c>
      <c r="J768" s="156">
        <f t="shared" si="180"/>
        <v>100</v>
      </c>
    </row>
    <row r="769" spans="1:10" s="219" customFormat="1">
      <c r="A769" s="131" t="s">
        <v>78</v>
      </c>
      <c r="B769" s="22" t="s">
        <v>369</v>
      </c>
      <c r="C769" s="22" t="s">
        <v>376</v>
      </c>
      <c r="D769" s="22" t="s">
        <v>69</v>
      </c>
      <c r="E769" s="22" t="s">
        <v>632</v>
      </c>
      <c r="F769" s="22" t="s">
        <v>79</v>
      </c>
      <c r="G769" s="156">
        <v>500</v>
      </c>
      <c r="H769" s="323">
        <v>0</v>
      </c>
      <c r="I769" s="156">
        <v>500</v>
      </c>
      <c r="J769" s="156">
        <f t="shared" si="180"/>
        <v>100</v>
      </c>
    </row>
    <row r="770" spans="1:10" s="219" customFormat="1">
      <c r="A770" s="240" t="s">
        <v>219</v>
      </c>
      <c r="B770" s="140" t="s">
        <v>394</v>
      </c>
      <c r="C770" s="140" t="s">
        <v>376</v>
      </c>
      <c r="D770" s="140" t="s">
        <v>69</v>
      </c>
      <c r="E770" s="245" t="s">
        <v>633</v>
      </c>
      <c r="F770" s="140"/>
      <c r="G770" s="175">
        <f t="shared" ref="G770:I771" si="186">G771</f>
        <v>10100</v>
      </c>
      <c r="H770" s="175">
        <f t="shared" si="186"/>
        <v>5968.7110000000002</v>
      </c>
      <c r="I770" s="175">
        <f t="shared" si="186"/>
        <v>7100</v>
      </c>
      <c r="J770" s="175">
        <f t="shared" si="180"/>
        <v>70.297029702970292</v>
      </c>
    </row>
    <row r="771" spans="1:10" s="219" customFormat="1">
      <c r="A771" s="131" t="s">
        <v>486</v>
      </c>
      <c r="B771" s="22" t="s">
        <v>369</v>
      </c>
      <c r="C771" s="22" t="s">
        <v>376</v>
      </c>
      <c r="D771" s="22" t="s">
        <v>69</v>
      </c>
      <c r="E771" s="22" t="s">
        <v>633</v>
      </c>
      <c r="F771" s="22" t="s">
        <v>77</v>
      </c>
      <c r="G771" s="156">
        <f t="shared" si="186"/>
        <v>10100</v>
      </c>
      <c r="H771" s="156">
        <f t="shared" si="186"/>
        <v>5968.7110000000002</v>
      </c>
      <c r="I771" s="156">
        <f t="shared" si="186"/>
        <v>7100</v>
      </c>
      <c r="J771" s="156">
        <f t="shared" si="180"/>
        <v>70.297029702970292</v>
      </c>
    </row>
    <row r="772" spans="1:10" s="219" customFormat="1">
      <c r="A772" s="131" t="s">
        <v>78</v>
      </c>
      <c r="B772" s="22" t="s">
        <v>369</v>
      </c>
      <c r="C772" s="22" t="s">
        <v>376</v>
      </c>
      <c r="D772" s="22" t="s">
        <v>69</v>
      </c>
      <c r="E772" s="22" t="s">
        <v>633</v>
      </c>
      <c r="F772" s="22" t="s">
        <v>79</v>
      </c>
      <c r="G772" s="156">
        <f>10100</f>
        <v>10100</v>
      </c>
      <c r="H772" s="156">
        <v>5968.7110000000002</v>
      </c>
      <c r="I772" s="156">
        <f>10100-3000</f>
        <v>7100</v>
      </c>
      <c r="J772" s="156">
        <f t="shared" si="180"/>
        <v>70.297029702970292</v>
      </c>
    </row>
    <row r="773" spans="1:10" s="219" customFormat="1">
      <c r="A773" s="133" t="s">
        <v>134</v>
      </c>
      <c r="B773" s="132" t="s">
        <v>394</v>
      </c>
      <c r="C773" s="132" t="s">
        <v>376</v>
      </c>
      <c r="D773" s="132" t="s">
        <v>69</v>
      </c>
      <c r="E773" s="132" t="s">
        <v>114</v>
      </c>
      <c r="F773" s="22"/>
      <c r="G773" s="158">
        <f>G783+G786+G774+G780+G777</f>
        <v>177857.53129999997</v>
      </c>
      <c r="H773" s="158">
        <f>H783+H786+H774+H780+H777</f>
        <v>31719.775909999997</v>
      </c>
      <c r="I773" s="158">
        <f>I783+I786+I774+I780+I777</f>
        <v>173077.53129999997</v>
      </c>
      <c r="J773" s="158">
        <f t="shared" si="180"/>
        <v>97.31245566883679</v>
      </c>
    </row>
    <row r="774" spans="1:10" s="219" customFormat="1" ht="48">
      <c r="A774" s="236" t="s">
        <v>517</v>
      </c>
      <c r="B774" s="140" t="s">
        <v>369</v>
      </c>
      <c r="C774" s="140" t="s">
        <v>376</v>
      </c>
      <c r="D774" s="140" t="s">
        <v>69</v>
      </c>
      <c r="E774" s="140" t="s">
        <v>520</v>
      </c>
      <c r="F774" s="140"/>
      <c r="G774" s="175">
        <f t="shared" ref="G774:I775" si="187">G775</f>
        <v>97778.907380000004</v>
      </c>
      <c r="H774" s="325">
        <f t="shared" si="187"/>
        <v>0</v>
      </c>
      <c r="I774" s="175">
        <f t="shared" si="187"/>
        <v>97778.907380000004</v>
      </c>
      <c r="J774" s="175">
        <f t="shared" si="180"/>
        <v>100</v>
      </c>
    </row>
    <row r="775" spans="1:10" s="232" customFormat="1">
      <c r="A775" s="131" t="s">
        <v>199</v>
      </c>
      <c r="B775" s="22" t="s">
        <v>369</v>
      </c>
      <c r="C775" s="22" t="s">
        <v>376</v>
      </c>
      <c r="D775" s="22" t="s">
        <v>69</v>
      </c>
      <c r="E775" s="22" t="s">
        <v>520</v>
      </c>
      <c r="F775" s="22" t="s">
        <v>377</v>
      </c>
      <c r="G775" s="156">
        <f t="shared" si="187"/>
        <v>97778.907380000004</v>
      </c>
      <c r="H775" s="323">
        <f t="shared" si="187"/>
        <v>0</v>
      </c>
      <c r="I775" s="156">
        <f t="shared" si="187"/>
        <v>97778.907380000004</v>
      </c>
      <c r="J775" s="156">
        <f t="shared" si="180"/>
        <v>100</v>
      </c>
    </row>
    <row r="776" spans="1:10" s="219" customFormat="1">
      <c r="A776" s="131" t="s">
        <v>378</v>
      </c>
      <c r="B776" s="22" t="s">
        <v>369</v>
      </c>
      <c r="C776" s="22" t="s">
        <v>376</v>
      </c>
      <c r="D776" s="22" t="s">
        <v>69</v>
      </c>
      <c r="E776" s="22" t="s">
        <v>520</v>
      </c>
      <c r="F776" s="22" t="s">
        <v>379</v>
      </c>
      <c r="G776" s="156">
        <f>19512.04901+78266.85837</f>
        <v>97778.907380000004</v>
      </c>
      <c r="H776" s="323">
        <v>0</v>
      </c>
      <c r="I776" s="156">
        <f>19512.04901+78266.85837</f>
        <v>97778.907380000004</v>
      </c>
      <c r="J776" s="156">
        <f t="shared" si="180"/>
        <v>100</v>
      </c>
    </row>
    <row r="777" spans="1:10" s="219" customFormat="1" ht="54">
      <c r="A777" s="174" t="s">
        <v>518</v>
      </c>
      <c r="B777" s="144" t="s">
        <v>369</v>
      </c>
      <c r="C777" s="144" t="s">
        <v>376</v>
      </c>
      <c r="D777" s="144" t="s">
        <v>69</v>
      </c>
      <c r="E777" s="144" t="s">
        <v>521</v>
      </c>
      <c r="F777" s="144"/>
      <c r="G777" s="175">
        <f t="shared" ref="G777:I778" si="188">G778</f>
        <v>686.82392000000004</v>
      </c>
      <c r="H777" s="325">
        <f t="shared" si="188"/>
        <v>0</v>
      </c>
      <c r="I777" s="175">
        <f t="shared" si="188"/>
        <v>686.82392000000004</v>
      </c>
      <c r="J777" s="175">
        <f t="shared" si="180"/>
        <v>100</v>
      </c>
    </row>
    <row r="778" spans="1:10" s="219" customFormat="1">
      <c r="A778" s="131" t="s">
        <v>199</v>
      </c>
      <c r="B778" s="22" t="s">
        <v>369</v>
      </c>
      <c r="C778" s="22" t="s">
        <v>376</v>
      </c>
      <c r="D778" s="22" t="s">
        <v>69</v>
      </c>
      <c r="E778" s="22" t="s">
        <v>521</v>
      </c>
      <c r="F778" s="22" t="s">
        <v>377</v>
      </c>
      <c r="G778" s="156">
        <f t="shared" si="188"/>
        <v>686.82392000000004</v>
      </c>
      <c r="H778" s="323">
        <f t="shared" si="188"/>
        <v>0</v>
      </c>
      <c r="I778" s="156">
        <f t="shared" si="188"/>
        <v>686.82392000000004</v>
      </c>
      <c r="J778" s="156">
        <f t="shared" si="180"/>
        <v>100</v>
      </c>
    </row>
    <row r="779" spans="1:10" s="219" customFormat="1">
      <c r="A779" s="131" t="s">
        <v>378</v>
      </c>
      <c r="B779" s="22" t="s">
        <v>369</v>
      </c>
      <c r="C779" s="22" t="s">
        <v>376</v>
      </c>
      <c r="D779" s="22" t="s">
        <v>69</v>
      </c>
      <c r="E779" s="22" t="s">
        <v>521</v>
      </c>
      <c r="F779" s="22" t="s">
        <v>379</v>
      </c>
      <c r="G779" s="156">
        <v>686.82392000000004</v>
      </c>
      <c r="H779" s="323">
        <v>0</v>
      </c>
      <c r="I779" s="156">
        <v>686.82392000000004</v>
      </c>
      <c r="J779" s="156">
        <f t="shared" si="180"/>
        <v>100</v>
      </c>
    </row>
    <row r="780" spans="1:10" ht="24">
      <c r="A780" s="241" t="s">
        <v>495</v>
      </c>
      <c r="B780" s="132" t="s">
        <v>369</v>
      </c>
      <c r="C780" s="132" t="s">
        <v>376</v>
      </c>
      <c r="D780" s="132" t="s">
        <v>69</v>
      </c>
      <c r="E780" s="132" t="s">
        <v>522</v>
      </c>
      <c r="F780" s="132"/>
      <c r="G780" s="158">
        <f t="shared" ref="G780:I781" si="189">G781</f>
        <v>37686.800000000003</v>
      </c>
      <c r="H780" s="324">
        <f t="shared" si="189"/>
        <v>0</v>
      </c>
      <c r="I780" s="158">
        <f t="shared" si="189"/>
        <v>37686.800000000003</v>
      </c>
      <c r="J780" s="158">
        <f t="shared" si="180"/>
        <v>100</v>
      </c>
    </row>
    <row r="781" spans="1:10">
      <c r="A781" s="246" t="s">
        <v>199</v>
      </c>
      <c r="B781" s="22" t="s">
        <v>369</v>
      </c>
      <c r="C781" s="22" t="s">
        <v>376</v>
      </c>
      <c r="D781" s="22" t="s">
        <v>69</v>
      </c>
      <c r="E781" s="22" t="s">
        <v>522</v>
      </c>
      <c r="F781" s="22" t="s">
        <v>377</v>
      </c>
      <c r="G781" s="156">
        <f t="shared" si="189"/>
        <v>37686.800000000003</v>
      </c>
      <c r="H781" s="323">
        <f t="shared" si="189"/>
        <v>0</v>
      </c>
      <c r="I781" s="156">
        <f t="shared" si="189"/>
        <v>37686.800000000003</v>
      </c>
      <c r="J781" s="156">
        <f t="shared" si="180"/>
        <v>100</v>
      </c>
    </row>
    <row r="782" spans="1:10">
      <c r="A782" s="246" t="s">
        <v>378</v>
      </c>
      <c r="B782" s="22" t="s">
        <v>369</v>
      </c>
      <c r="C782" s="22" t="s">
        <v>376</v>
      </c>
      <c r="D782" s="22" t="s">
        <v>69</v>
      </c>
      <c r="E782" s="22" t="s">
        <v>522</v>
      </c>
      <c r="F782" s="22" t="s">
        <v>379</v>
      </c>
      <c r="G782" s="156">
        <f>9686.8+28000</f>
        <v>37686.800000000003</v>
      </c>
      <c r="H782" s="323">
        <v>0</v>
      </c>
      <c r="I782" s="156">
        <f>9686.8+28000</f>
        <v>37686.800000000003</v>
      </c>
      <c r="J782" s="156">
        <f t="shared" si="180"/>
        <v>100</v>
      </c>
    </row>
    <row r="783" spans="1:10" ht="24">
      <c r="A783" s="224" t="s">
        <v>393</v>
      </c>
      <c r="B783" s="140" t="s">
        <v>369</v>
      </c>
      <c r="C783" s="140" t="s">
        <v>376</v>
      </c>
      <c r="D783" s="140" t="s">
        <v>69</v>
      </c>
      <c r="E783" s="140" t="s">
        <v>441</v>
      </c>
      <c r="F783" s="140"/>
      <c r="G783" s="175">
        <f t="shared" ref="G783:I784" si="190">G784</f>
        <v>38905</v>
      </c>
      <c r="H783" s="175">
        <f t="shared" si="190"/>
        <v>29227.416819999999</v>
      </c>
      <c r="I783" s="175">
        <f t="shared" si="190"/>
        <v>34125</v>
      </c>
      <c r="J783" s="175">
        <f t="shared" si="180"/>
        <v>87.713661483099855</v>
      </c>
    </row>
    <row r="784" spans="1:10" s="209" customFormat="1">
      <c r="A784" s="131" t="s">
        <v>94</v>
      </c>
      <c r="B784" s="22" t="s">
        <v>369</v>
      </c>
      <c r="C784" s="22" t="s">
        <v>376</v>
      </c>
      <c r="D784" s="22" t="s">
        <v>69</v>
      </c>
      <c r="E784" s="22" t="s">
        <v>441</v>
      </c>
      <c r="F784" s="22" t="s">
        <v>362</v>
      </c>
      <c r="G784" s="156">
        <f t="shared" si="190"/>
        <v>38905</v>
      </c>
      <c r="H784" s="156">
        <f t="shared" si="190"/>
        <v>29227.416819999999</v>
      </c>
      <c r="I784" s="156">
        <f t="shared" si="190"/>
        <v>34125</v>
      </c>
      <c r="J784" s="156">
        <f t="shared" si="180"/>
        <v>87.713661483099855</v>
      </c>
    </row>
    <row r="785" spans="1:10" s="232" customFormat="1" ht="24">
      <c r="A785" s="131" t="s">
        <v>669</v>
      </c>
      <c r="B785" s="22" t="s">
        <v>369</v>
      </c>
      <c r="C785" s="22" t="s">
        <v>376</v>
      </c>
      <c r="D785" s="22" t="s">
        <v>69</v>
      </c>
      <c r="E785" s="22" t="s">
        <v>441</v>
      </c>
      <c r="F785" s="22" t="s">
        <v>403</v>
      </c>
      <c r="G785" s="156">
        <f>9000+30000-13000+12905</f>
        <v>38905</v>
      </c>
      <c r="H785" s="156">
        <v>29227.416819999999</v>
      </c>
      <c r="I785" s="156">
        <f>9000+30000-13000+12905-4780</f>
        <v>34125</v>
      </c>
      <c r="J785" s="156">
        <f t="shared" si="180"/>
        <v>87.713661483099855</v>
      </c>
    </row>
    <row r="786" spans="1:10" s="232" customFormat="1" ht="24">
      <c r="A786" s="224" t="s">
        <v>634</v>
      </c>
      <c r="B786" s="140" t="s">
        <v>369</v>
      </c>
      <c r="C786" s="140" t="s">
        <v>376</v>
      </c>
      <c r="D786" s="140" t="s">
        <v>69</v>
      </c>
      <c r="E786" s="140" t="s">
        <v>635</v>
      </c>
      <c r="F786" s="140"/>
      <c r="G786" s="175">
        <f t="shared" ref="G786:I787" si="191">G787</f>
        <v>2800</v>
      </c>
      <c r="H786" s="175">
        <f t="shared" si="191"/>
        <v>2492.3590899999999</v>
      </c>
      <c r="I786" s="175">
        <f t="shared" si="191"/>
        <v>2800</v>
      </c>
      <c r="J786" s="175">
        <f t="shared" si="180"/>
        <v>100</v>
      </c>
    </row>
    <row r="787" spans="1:10" s="232" customFormat="1">
      <c r="A787" s="131" t="s">
        <v>486</v>
      </c>
      <c r="B787" s="22" t="s">
        <v>369</v>
      </c>
      <c r="C787" s="22" t="s">
        <v>376</v>
      </c>
      <c r="D787" s="22" t="s">
        <v>69</v>
      </c>
      <c r="E787" s="22" t="s">
        <v>635</v>
      </c>
      <c r="F787" s="22" t="s">
        <v>77</v>
      </c>
      <c r="G787" s="156">
        <f t="shared" si="191"/>
        <v>2800</v>
      </c>
      <c r="H787" s="156">
        <f t="shared" si="191"/>
        <v>2492.3590899999999</v>
      </c>
      <c r="I787" s="156">
        <f t="shared" si="191"/>
        <v>2800</v>
      </c>
      <c r="J787" s="156">
        <f t="shared" si="180"/>
        <v>100</v>
      </c>
    </row>
    <row r="788" spans="1:10" s="232" customFormat="1">
      <c r="A788" s="131" t="s">
        <v>78</v>
      </c>
      <c r="B788" s="22" t="s">
        <v>369</v>
      </c>
      <c r="C788" s="22" t="s">
        <v>376</v>
      </c>
      <c r="D788" s="22" t="s">
        <v>69</v>
      </c>
      <c r="E788" s="22" t="s">
        <v>635</v>
      </c>
      <c r="F788" s="22" t="s">
        <v>79</v>
      </c>
      <c r="G788" s="156">
        <f>2800</f>
        <v>2800</v>
      </c>
      <c r="H788" s="156">
        <v>2492.3590899999999</v>
      </c>
      <c r="I788" s="156">
        <f>2800</f>
        <v>2800</v>
      </c>
      <c r="J788" s="156">
        <f t="shared" si="180"/>
        <v>100</v>
      </c>
    </row>
    <row r="789" spans="1:10" s="232" customFormat="1">
      <c r="A789" s="133" t="s">
        <v>335</v>
      </c>
      <c r="B789" s="132" t="s">
        <v>369</v>
      </c>
      <c r="C789" s="132" t="s">
        <v>376</v>
      </c>
      <c r="D789" s="132" t="s">
        <v>431</v>
      </c>
      <c r="E789" s="132"/>
      <c r="F789" s="132"/>
      <c r="G789" s="158">
        <f>G790</f>
        <v>112666.8</v>
      </c>
      <c r="H789" s="158">
        <f>H790</f>
        <v>63531.824840000001</v>
      </c>
      <c r="I789" s="158">
        <f>I790</f>
        <v>84356.800000000003</v>
      </c>
      <c r="J789" s="158">
        <f t="shared" si="180"/>
        <v>74.87281080140734</v>
      </c>
    </row>
    <row r="790" spans="1:10" s="219" customFormat="1" ht="27">
      <c r="A790" s="174" t="s">
        <v>622</v>
      </c>
      <c r="B790" s="144" t="s">
        <v>369</v>
      </c>
      <c r="C790" s="144" t="s">
        <v>376</v>
      </c>
      <c r="D790" s="144" t="s">
        <v>431</v>
      </c>
      <c r="E790" s="144" t="s">
        <v>215</v>
      </c>
      <c r="F790" s="140"/>
      <c r="G790" s="218">
        <f>G791+G800+G806+G810</f>
        <v>112666.8</v>
      </c>
      <c r="H790" s="218">
        <f>H791+H800+H806+H810</f>
        <v>63531.824840000001</v>
      </c>
      <c r="I790" s="218">
        <f>I791+I800+I806+I810</f>
        <v>84356.800000000003</v>
      </c>
      <c r="J790" s="218">
        <f t="shared" si="180"/>
        <v>74.87281080140734</v>
      </c>
    </row>
    <row r="791" spans="1:10" s="219" customFormat="1" ht="13.5">
      <c r="A791" s="174" t="s">
        <v>636</v>
      </c>
      <c r="B791" s="144" t="s">
        <v>369</v>
      </c>
      <c r="C791" s="144" t="s">
        <v>376</v>
      </c>
      <c r="D791" s="144" t="s">
        <v>431</v>
      </c>
      <c r="E791" s="144" t="s">
        <v>220</v>
      </c>
      <c r="F791" s="140"/>
      <c r="G791" s="218">
        <f>G792+G797</f>
        <v>15500</v>
      </c>
      <c r="H791" s="218">
        <f>H792+H797</f>
        <v>738</v>
      </c>
      <c r="I791" s="218">
        <f>I792+I797</f>
        <v>10500</v>
      </c>
      <c r="J791" s="218">
        <f t="shared" si="180"/>
        <v>67.741935483870961</v>
      </c>
    </row>
    <row r="792" spans="1:10" s="219" customFormat="1">
      <c r="A792" s="133" t="s">
        <v>637</v>
      </c>
      <c r="B792" s="132" t="s">
        <v>369</v>
      </c>
      <c r="C792" s="132" t="s">
        <v>376</v>
      </c>
      <c r="D792" s="132" t="s">
        <v>431</v>
      </c>
      <c r="E792" s="132" t="s">
        <v>638</v>
      </c>
      <c r="F792" s="22"/>
      <c r="G792" s="158">
        <f>G793+G795</f>
        <v>15000</v>
      </c>
      <c r="H792" s="158">
        <f>H793+H795</f>
        <v>738</v>
      </c>
      <c r="I792" s="158">
        <f>I793+I795</f>
        <v>10000</v>
      </c>
      <c r="J792" s="158">
        <f t="shared" si="180"/>
        <v>66.666666666666657</v>
      </c>
    </row>
    <row r="793" spans="1:10">
      <c r="A793" s="131" t="s">
        <v>486</v>
      </c>
      <c r="B793" s="145">
        <v>609</v>
      </c>
      <c r="C793" s="247" t="s">
        <v>376</v>
      </c>
      <c r="D793" s="247" t="s">
        <v>431</v>
      </c>
      <c r="E793" s="22" t="s">
        <v>638</v>
      </c>
      <c r="F793" s="22" t="s">
        <v>77</v>
      </c>
      <c r="G793" s="156">
        <f>G794</f>
        <v>4500</v>
      </c>
      <c r="H793" s="323">
        <f>H794</f>
        <v>0</v>
      </c>
      <c r="I793" s="156">
        <f>I794</f>
        <v>4500</v>
      </c>
      <c r="J793" s="156">
        <f t="shared" si="180"/>
        <v>100</v>
      </c>
    </row>
    <row r="794" spans="1:10">
      <c r="A794" s="131" t="s">
        <v>78</v>
      </c>
      <c r="B794" s="22" t="s">
        <v>369</v>
      </c>
      <c r="C794" s="22" t="s">
        <v>376</v>
      </c>
      <c r="D794" s="22" t="s">
        <v>431</v>
      </c>
      <c r="E794" s="22" t="s">
        <v>638</v>
      </c>
      <c r="F794" s="22" t="s">
        <v>79</v>
      </c>
      <c r="G794" s="156">
        <v>4500</v>
      </c>
      <c r="H794" s="323">
        <v>0</v>
      </c>
      <c r="I794" s="156">
        <v>4500</v>
      </c>
      <c r="J794" s="156">
        <f t="shared" si="180"/>
        <v>100</v>
      </c>
    </row>
    <row r="795" spans="1:10">
      <c r="A795" s="131" t="s">
        <v>199</v>
      </c>
      <c r="B795" s="145">
        <v>609</v>
      </c>
      <c r="C795" s="247" t="s">
        <v>376</v>
      </c>
      <c r="D795" s="247" t="s">
        <v>431</v>
      </c>
      <c r="E795" s="22" t="s">
        <v>638</v>
      </c>
      <c r="F795" s="22" t="s">
        <v>377</v>
      </c>
      <c r="G795" s="156">
        <f>G796</f>
        <v>10500</v>
      </c>
      <c r="H795" s="156">
        <f>H796</f>
        <v>738</v>
      </c>
      <c r="I795" s="156">
        <f>I796</f>
        <v>5500</v>
      </c>
      <c r="J795" s="156">
        <f t="shared" si="180"/>
        <v>52.380952380952387</v>
      </c>
    </row>
    <row r="796" spans="1:10">
      <c r="A796" s="131" t="s">
        <v>378</v>
      </c>
      <c r="B796" s="22" t="s">
        <v>369</v>
      </c>
      <c r="C796" s="22" t="s">
        <v>376</v>
      </c>
      <c r="D796" s="22" t="s">
        <v>431</v>
      </c>
      <c r="E796" s="22" t="s">
        <v>638</v>
      </c>
      <c r="F796" s="22" t="s">
        <v>379</v>
      </c>
      <c r="G796" s="156">
        <v>10500</v>
      </c>
      <c r="H796" s="156">
        <v>738</v>
      </c>
      <c r="I796" s="156">
        <f>10500-5000</f>
        <v>5500</v>
      </c>
      <c r="J796" s="156">
        <f t="shared" si="180"/>
        <v>52.380952380952387</v>
      </c>
    </row>
    <row r="797" spans="1:10">
      <c r="A797" s="133" t="s">
        <v>501</v>
      </c>
      <c r="B797" s="132" t="s">
        <v>369</v>
      </c>
      <c r="C797" s="132" t="s">
        <v>376</v>
      </c>
      <c r="D797" s="132" t="s">
        <v>431</v>
      </c>
      <c r="E797" s="132" t="s">
        <v>639</v>
      </c>
      <c r="F797" s="132"/>
      <c r="G797" s="158">
        <f t="shared" ref="G797:I798" si="192">G798</f>
        <v>500</v>
      </c>
      <c r="H797" s="324">
        <f t="shared" si="192"/>
        <v>0</v>
      </c>
      <c r="I797" s="158">
        <f t="shared" si="192"/>
        <v>500</v>
      </c>
      <c r="J797" s="158">
        <f t="shared" si="180"/>
        <v>100</v>
      </c>
    </row>
    <row r="798" spans="1:10">
      <c r="A798" s="131" t="s">
        <v>486</v>
      </c>
      <c r="B798" s="22" t="s">
        <v>369</v>
      </c>
      <c r="C798" s="22" t="s">
        <v>376</v>
      </c>
      <c r="D798" s="22" t="s">
        <v>431</v>
      </c>
      <c r="E798" s="22" t="s">
        <v>639</v>
      </c>
      <c r="F798" s="22" t="s">
        <v>77</v>
      </c>
      <c r="G798" s="156">
        <f t="shared" si="192"/>
        <v>500</v>
      </c>
      <c r="H798" s="323">
        <f t="shared" si="192"/>
        <v>0</v>
      </c>
      <c r="I798" s="156">
        <f t="shared" si="192"/>
        <v>500</v>
      </c>
      <c r="J798" s="156">
        <f t="shared" si="180"/>
        <v>100</v>
      </c>
    </row>
    <row r="799" spans="1:10">
      <c r="A799" s="131" t="s">
        <v>78</v>
      </c>
      <c r="B799" s="22" t="s">
        <v>369</v>
      </c>
      <c r="C799" s="22" t="s">
        <v>376</v>
      </c>
      <c r="D799" s="22" t="s">
        <v>431</v>
      </c>
      <c r="E799" s="22" t="s">
        <v>639</v>
      </c>
      <c r="F799" s="22" t="s">
        <v>79</v>
      </c>
      <c r="G799" s="156">
        <f>3000-2500</f>
        <v>500</v>
      </c>
      <c r="H799" s="323">
        <v>0</v>
      </c>
      <c r="I799" s="156">
        <f>3000-2500</f>
        <v>500</v>
      </c>
      <c r="J799" s="156">
        <f t="shared" si="180"/>
        <v>100</v>
      </c>
    </row>
    <row r="800" spans="1:10" ht="24">
      <c r="A800" s="133" t="s">
        <v>640</v>
      </c>
      <c r="B800" s="132" t="s">
        <v>369</v>
      </c>
      <c r="C800" s="132" t="s">
        <v>376</v>
      </c>
      <c r="D800" s="132" t="s">
        <v>431</v>
      </c>
      <c r="E800" s="132" t="s">
        <v>135</v>
      </c>
      <c r="F800" s="22"/>
      <c r="G800" s="158">
        <f>G801</f>
        <v>74856.800000000003</v>
      </c>
      <c r="H800" s="158">
        <f>H801</f>
        <v>62793.824840000001</v>
      </c>
      <c r="I800" s="158">
        <f>I801</f>
        <v>71856.800000000003</v>
      </c>
      <c r="J800" s="158">
        <f t="shared" si="180"/>
        <v>95.992348056555983</v>
      </c>
    </row>
    <row r="801" spans="1:10" ht="24">
      <c r="A801" s="224" t="s">
        <v>641</v>
      </c>
      <c r="B801" s="140" t="s">
        <v>369</v>
      </c>
      <c r="C801" s="140" t="s">
        <v>376</v>
      </c>
      <c r="D801" s="140" t="s">
        <v>431</v>
      </c>
      <c r="E801" s="140" t="s">
        <v>642</v>
      </c>
      <c r="F801" s="148"/>
      <c r="G801" s="175">
        <f>G802+G804</f>
        <v>74856.800000000003</v>
      </c>
      <c r="H801" s="175">
        <f>H802+H804</f>
        <v>62793.824840000001</v>
      </c>
      <c r="I801" s="175">
        <f>I802+I804</f>
        <v>71856.800000000003</v>
      </c>
      <c r="J801" s="175">
        <f t="shared" si="180"/>
        <v>95.992348056555983</v>
      </c>
    </row>
    <row r="802" spans="1:10">
      <c r="A802" s="131" t="s">
        <v>486</v>
      </c>
      <c r="B802" s="22" t="s">
        <v>369</v>
      </c>
      <c r="C802" s="22" t="s">
        <v>376</v>
      </c>
      <c r="D802" s="22" t="s">
        <v>431</v>
      </c>
      <c r="E802" s="22" t="s">
        <v>642</v>
      </c>
      <c r="F802" s="22" t="s">
        <v>77</v>
      </c>
      <c r="G802" s="156">
        <f>G803</f>
        <v>70856.800000000003</v>
      </c>
      <c r="H802" s="156">
        <f>H803</f>
        <v>61883.102440000002</v>
      </c>
      <c r="I802" s="156">
        <f>I803</f>
        <v>69856.800000000003</v>
      </c>
      <c r="J802" s="156">
        <f t="shared" si="180"/>
        <v>98.588702848562164</v>
      </c>
    </row>
    <row r="803" spans="1:10">
      <c r="A803" s="131" t="s">
        <v>78</v>
      </c>
      <c r="B803" s="22" t="s">
        <v>369</v>
      </c>
      <c r="C803" s="22" t="s">
        <v>376</v>
      </c>
      <c r="D803" s="22" t="s">
        <v>431</v>
      </c>
      <c r="E803" s="22" t="s">
        <v>642</v>
      </c>
      <c r="F803" s="22" t="s">
        <v>79</v>
      </c>
      <c r="G803" s="156">
        <f>72561.8-2000+3500-1000-1000-1205</f>
        <v>70856.800000000003</v>
      </c>
      <c r="H803" s="156">
        <v>61883.102440000002</v>
      </c>
      <c r="I803" s="156">
        <f>72561.8-2000+3500-1000-1000-1205-1000</f>
        <v>69856.800000000003</v>
      </c>
      <c r="J803" s="156">
        <f t="shared" ref="J803:J866" si="193">I803/G803*100</f>
        <v>98.588702848562164</v>
      </c>
    </row>
    <row r="804" spans="1:10">
      <c r="A804" s="131" t="s">
        <v>199</v>
      </c>
      <c r="B804" s="145">
        <v>609</v>
      </c>
      <c r="C804" s="247" t="s">
        <v>376</v>
      </c>
      <c r="D804" s="247" t="s">
        <v>431</v>
      </c>
      <c r="E804" s="22" t="s">
        <v>642</v>
      </c>
      <c r="F804" s="22" t="s">
        <v>377</v>
      </c>
      <c r="G804" s="156">
        <f>G805</f>
        <v>4000</v>
      </c>
      <c r="H804" s="156">
        <f>H805</f>
        <v>910.72239999999999</v>
      </c>
      <c r="I804" s="156">
        <f>I805</f>
        <v>2000</v>
      </c>
      <c r="J804" s="156">
        <f t="shared" si="193"/>
        <v>50</v>
      </c>
    </row>
    <row r="805" spans="1:10">
      <c r="A805" s="131" t="s">
        <v>378</v>
      </c>
      <c r="B805" s="22" t="s">
        <v>369</v>
      </c>
      <c r="C805" s="22" t="s">
        <v>376</v>
      </c>
      <c r="D805" s="22" t="s">
        <v>431</v>
      </c>
      <c r="E805" s="22" t="s">
        <v>642</v>
      </c>
      <c r="F805" s="22" t="s">
        <v>379</v>
      </c>
      <c r="G805" s="156">
        <v>4000</v>
      </c>
      <c r="H805" s="156">
        <v>910.72239999999999</v>
      </c>
      <c r="I805" s="156">
        <f>4000-2000</f>
        <v>2000</v>
      </c>
      <c r="J805" s="156">
        <f t="shared" si="193"/>
        <v>50</v>
      </c>
    </row>
    <row r="806" spans="1:10">
      <c r="A806" s="133" t="s">
        <v>643</v>
      </c>
      <c r="B806" s="132" t="s">
        <v>369</v>
      </c>
      <c r="C806" s="132" t="s">
        <v>376</v>
      </c>
      <c r="D806" s="132" t="s">
        <v>431</v>
      </c>
      <c r="E806" s="132" t="s">
        <v>644</v>
      </c>
      <c r="F806" s="132"/>
      <c r="G806" s="158">
        <f t="shared" ref="G806:I808" si="194">G807</f>
        <v>17310</v>
      </c>
      <c r="H806" s="324">
        <f t="shared" si="194"/>
        <v>0</v>
      </c>
      <c r="I806" s="158">
        <f t="shared" si="194"/>
        <v>0</v>
      </c>
      <c r="J806" s="158">
        <f t="shared" si="193"/>
        <v>0</v>
      </c>
    </row>
    <row r="807" spans="1:10">
      <c r="A807" s="224" t="s">
        <v>645</v>
      </c>
      <c r="B807" s="22" t="s">
        <v>369</v>
      </c>
      <c r="C807" s="22" t="s">
        <v>376</v>
      </c>
      <c r="D807" s="22" t="s">
        <v>431</v>
      </c>
      <c r="E807" s="140" t="s">
        <v>646</v>
      </c>
      <c r="F807" s="140"/>
      <c r="G807" s="175">
        <f t="shared" si="194"/>
        <v>17310</v>
      </c>
      <c r="H807" s="325">
        <f t="shared" si="194"/>
        <v>0</v>
      </c>
      <c r="I807" s="325">
        <f t="shared" si="194"/>
        <v>0</v>
      </c>
      <c r="J807" s="175">
        <f t="shared" si="193"/>
        <v>0</v>
      </c>
    </row>
    <row r="808" spans="1:10">
      <c r="A808" s="131" t="s">
        <v>486</v>
      </c>
      <c r="B808" s="22" t="s">
        <v>369</v>
      </c>
      <c r="C808" s="22" t="s">
        <v>376</v>
      </c>
      <c r="D808" s="22" t="s">
        <v>431</v>
      </c>
      <c r="E808" s="22" t="s">
        <v>646</v>
      </c>
      <c r="F808" s="22" t="s">
        <v>77</v>
      </c>
      <c r="G808" s="156">
        <f t="shared" si="194"/>
        <v>17310</v>
      </c>
      <c r="H808" s="323">
        <f t="shared" si="194"/>
        <v>0</v>
      </c>
      <c r="I808" s="323">
        <f t="shared" si="194"/>
        <v>0</v>
      </c>
      <c r="J808" s="156">
        <f t="shared" si="193"/>
        <v>0</v>
      </c>
    </row>
    <row r="809" spans="1:10">
      <c r="A809" s="131" t="s">
        <v>78</v>
      </c>
      <c r="B809" s="22" t="s">
        <v>369</v>
      </c>
      <c r="C809" s="22" t="s">
        <v>376</v>
      </c>
      <c r="D809" s="22" t="s">
        <v>431</v>
      </c>
      <c r="E809" s="22" t="s">
        <v>646</v>
      </c>
      <c r="F809" s="22" t="s">
        <v>79</v>
      </c>
      <c r="G809" s="156">
        <v>17310</v>
      </c>
      <c r="H809" s="323">
        <v>0</v>
      </c>
      <c r="I809" s="323">
        <f>17310-17310</f>
        <v>0</v>
      </c>
      <c r="J809" s="156">
        <f t="shared" si="193"/>
        <v>0</v>
      </c>
    </row>
    <row r="810" spans="1:10" s="219" customFormat="1">
      <c r="A810" s="133" t="s">
        <v>392</v>
      </c>
      <c r="B810" s="132" t="s">
        <v>394</v>
      </c>
      <c r="C810" s="132" t="s">
        <v>376</v>
      </c>
      <c r="D810" s="132" t="s">
        <v>431</v>
      </c>
      <c r="E810" s="132" t="s">
        <v>114</v>
      </c>
      <c r="F810" s="132"/>
      <c r="G810" s="158">
        <f t="shared" ref="G810:I812" si="195">G811</f>
        <v>5000</v>
      </c>
      <c r="H810" s="324">
        <f t="shared" si="195"/>
        <v>0</v>
      </c>
      <c r="I810" s="158">
        <f t="shared" si="195"/>
        <v>2000</v>
      </c>
      <c r="J810" s="158">
        <f t="shared" si="193"/>
        <v>40</v>
      </c>
    </row>
    <row r="811" spans="1:10">
      <c r="A811" s="224" t="s">
        <v>647</v>
      </c>
      <c r="B811" s="140" t="s">
        <v>369</v>
      </c>
      <c r="C811" s="140" t="s">
        <v>376</v>
      </c>
      <c r="D811" s="140" t="s">
        <v>431</v>
      </c>
      <c r="E811" s="140" t="s">
        <v>648</v>
      </c>
      <c r="F811" s="140"/>
      <c r="G811" s="175">
        <f t="shared" si="195"/>
        <v>5000</v>
      </c>
      <c r="H811" s="325">
        <f t="shared" si="195"/>
        <v>0</v>
      </c>
      <c r="I811" s="175">
        <f t="shared" si="195"/>
        <v>2000</v>
      </c>
      <c r="J811" s="175">
        <f t="shared" si="193"/>
        <v>40</v>
      </c>
    </row>
    <row r="812" spans="1:10" s="219" customFormat="1">
      <c r="A812" s="131" t="s">
        <v>486</v>
      </c>
      <c r="B812" s="22" t="s">
        <v>369</v>
      </c>
      <c r="C812" s="22" t="s">
        <v>376</v>
      </c>
      <c r="D812" s="22" t="s">
        <v>431</v>
      </c>
      <c r="E812" s="22" t="s">
        <v>648</v>
      </c>
      <c r="F812" s="22" t="s">
        <v>77</v>
      </c>
      <c r="G812" s="156">
        <f t="shared" si="195"/>
        <v>5000</v>
      </c>
      <c r="H812" s="323">
        <f t="shared" si="195"/>
        <v>0</v>
      </c>
      <c r="I812" s="156">
        <f t="shared" si="195"/>
        <v>2000</v>
      </c>
      <c r="J812" s="156">
        <f t="shared" si="193"/>
        <v>40</v>
      </c>
    </row>
    <row r="813" spans="1:10" s="219" customFormat="1">
      <c r="A813" s="131" t="s">
        <v>78</v>
      </c>
      <c r="B813" s="22" t="s">
        <v>369</v>
      </c>
      <c r="C813" s="22" t="s">
        <v>376</v>
      </c>
      <c r="D813" s="22" t="s">
        <v>431</v>
      </c>
      <c r="E813" s="22" t="s">
        <v>648</v>
      </c>
      <c r="F813" s="22" t="s">
        <v>79</v>
      </c>
      <c r="G813" s="156">
        <f>5000</f>
        <v>5000</v>
      </c>
      <c r="H813" s="323">
        <v>0</v>
      </c>
      <c r="I813" s="156">
        <f>5000-3000</f>
        <v>2000</v>
      </c>
      <c r="J813" s="156">
        <f t="shared" si="193"/>
        <v>40</v>
      </c>
    </row>
    <row r="814" spans="1:10" s="219" customFormat="1">
      <c r="A814" s="133" t="s">
        <v>336</v>
      </c>
      <c r="B814" s="132" t="s">
        <v>369</v>
      </c>
      <c r="C814" s="132" t="s">
        <v>376</v>
      </c>
      <c r="D814" s="132" t="s">
        <v>423</v>
      </c>
      <c r="E814" s="132"/>
      <c r="F814" s="132"/>
      <c r="G814" s="158">
        <f t="shared" ref="G814:I815" si="196">G815</f>
        <v>134391.45199999999</v>
      </c>
      <c r="H814" s="158">
        <f t="shared" si="196"/>
        <v>100866.87015</v>
      </c>
      <c r="I814" s="158">
        <f t="shared" si="196"/>
        <v>129390.98295000001</v>
      </c>
      <c r="J814" s="158">
        <f t="shared" si="193"/>
        <v>96.279176260406814</v>
      </c>
    </row>
    <row r="815" spans="1:10" s="219" customFormat="1" ht="27">
      <c r="A815" s="174" t="s">
        <v>622</v>
      </c>
      <c r="B815" s="144" t="s">
        <v>369</v>
      </c>
      <c r="C815" s="144" t="s">
        <v>376</v>
      </c>
      <c r="D815" s="144" t="s">
        <v>423</v>
      </c>
      <c r="E815" s="144" t="s">
        <v>215</v>
      </c>
      <c r="F815" s="144"/>
      <c r="G815" s="218">
        <f t="shared" si="196"/>
        <v>134391.45199999999</v>
      </c>
      <c r="H815" s="218">
        <f t="shared" si="196"/>
        <v>100866.87015</v>
      </c>
      <c r="I815" s="218">
        <f t="shared" si="196"/>
        <v>129390.98295000001</v>
      </c>
      <c r="J815" s="218">
        <f t="shared" si="193"/>
        <v>96.279176260406814</v>
      </c>
    </row>
    <row r="816" spans="1:10" s="219" customFormat="1">
      <c r="A816" s="133" t="s">
        <v>392</v>
      </c>
      <c r="B816" s="132" t="s">
        <v>394</v>
      </c>
      <c r="C816" s="132" t="s">
        <v>376</v>
      </c>
      <c r="D816" s="132" t="s">
        <v>423</v>
      </c>
      <c r="E816" s="132" t="s">
        <v>114</v>
      </c>
      <c r="F816" s="132"/>
      <c r="G816" s="158">
        <f>G817+G820+G823</f>
        <v>134391.45199999999</v>
      </c>
      <c r="H816" s="158">
        <f>H817+H820+H823</f>
        <v>100866.87015</v>
      </c>
      <c r="I816" s="158">
        <f>I817+I820+I823</f>
        <v>129390.98295000001</v>
      </c>
      <c r="J816" s="158">
        <f t="shared" si="193"/>
        <v>96.279176260406814</v>
      </c>
    </row>
    <row r="817" spans="1:10" s="219" customFormat="1">
      <c r="A817" s="224" t="s">
        <v>54</v>
      </c>
      <c r="B817" s="140" t="s">
        <v>394</v>
      </c>
      <c r="C817" s="140" t="s">
        <v>376</v>
      </c>
      <c r="D817" s="140" t="s">
        <v>423</v>
      </c>
      <c r="E817" s="140" t="s">
        <v>649</v>
      </c>
      <c r="F817" s="148"/>
      <c r="G817" s="175">
        <f t="shared" ref="G817:I818" si="197">G818</f>
        <v>24791.451999999997</v>
      </c>
      <c r="H817" s="175">
        <f t="shared" si="197"/>
        <v>22140.124820000001</v>
      </c>
      <c r="I817" s="175">
        <f t="shared" si="197"/>
        <v>24791.451999999997</v>
      </c>
      <c r="J817" s="175">
        <f t="shared" si="193"/>
        <v>100</v>
      </c>
    </row>
    <row r="818" spans="1:10" s="219" customFormat="1">
      <c r="A818" s="131" t="s">
        <v>94</v>
      </c>
      <c r="B818" s="22" t="s">
        <v>369</v>
      </c>
      <c r="C818" s="22" t="s">
        <v>376</v>
      </c>
      <c r="D818" s="22" t="s">
        <v>423</v>
      </c>
      <c r="E818" s="22" t="s">
        <v>649</v>
      </c>
      <c r="F818" s="22" t="s">
        <v>362</v>
      </c>
      <c r="G818" s="156">
        <f t="shared" si="197"/>
        <v>24791.451999999997</v>
      </c>
      <c r="H818" s="156">
        <f t="shared" si="197"/>
        <v>22140.124820000001</v>
      </c>
      <c r="I818" s="156">
        <f t="shared" si="197"/>
        <v>24791.451999999997</v>
      </c>
      <c r="J818" s="156">
        <f t="shared" si="193"/>
        <v>100</v>
      </c>
    </row>
    <row r="819" spans="1:10" s="219" customFormat="1">
      <c r="A819" s="131" t="s">
        <v>95</v>
      </c>
      <c r="B819" s="22" t="s">
        <v>369</v>
      </c>
      <c r="C819" s="22" t="s">
        <v>376</v>
      </c>
      <c r="D819" s="22" t="s">
        <v>423</v>
      </c>
      <c r="E819" s="22" t="s">
        <v>649</v>
      </c>
      <c r="F819" s="22" t="s">
        <v>371</v>
      </c>
      <c r="G819" s="156">
        <f>24359-27.2+459.652</f>
        <v>24791.451999999997</v>
      </c>
      <c r="H819" s="156">
        <v>22140.124820000001</v>
      </c>
      <c r="I819" s="156">
        <f>24359-27.2+459.652</f>
        <v>24791.451999999997</v>
      </c>
      <c r="J819" s="156">
        <f t="shared" si="193"/>
        <v>100</v>
      </c>
    </row>
    <row r="820" spans="1:10" ht="36">
      <c r="A820" s="236" t="s">
        <v>318</v>
      </c>
      <c r="B820" s="140" t="s">
        <v>369</v>
      </c>
      <c r="C820" s="140" t="s">
        <v>376</v>
      </c>
      <c r="D820" s="140" t="s">
        <v>423</v>
      </c>
      <c r="E820" s="140" t="s">
        <v>650</v>
      </c>
      <c r="F820" s="140"/>
      <c r="G820" s="175">
        <f t="shared" ref="G820:I821" si="198">G821</f>
        <v>10600</v>
      </c>
      <c r="H820" s="175">
        <f t="shared" si="198"/>
        <v>10599.53095</v>
      </c>
      <c r="I820" s="175">
        <f t="shared" si="198"/>
        <v>10599.53095</v>
      </c>
      <c r="J820" s="175">
        <f t="shared" si="193"/>
        <v>99.995575000000002</v>
      </c>
    </row>
    <row r="821" spans="1:10">
      <c r="A821" s="131" t="s">
        <v>80</v>
      </c>
      <c r="B821" s="22" t="s">
        <v>369</v>
      </c>
      <c r="C821" s="22" t="s">
        <v>376</v>
      </c>
      <c r="D821" s="22" t="s">
        <v>423</v>
      </c>
      <c r="E821" s="22" t="s">
        <v>650</v>
      </c>
      <c r="F821" s="22" t="s">
        <v>81</v>
      </c>
      <c r="G821" s="156">
        <f t="shared" si="198"/>
        <v>10600</v>
      </c>
      <c r="H821" s="156">
        <f t="shared" si="198"/>
        <v>10599.53095</v>
      </c>
      <c r="I821" s="156">
        <f t="shared" si="198"/>
        <v>10599.53095</v>
      </c>
      <c r="J821" s="156">
        <f t="shared" si="193"/>
        <v>99.995575000000002</v>
      </c>
    </row>
    <row r="822" spans="1:10" ht="24">
      <c r="A822" s="131" t="s">
        <v>485</v>
      </c>
      <c r="B822" s="22" t="s">
        <v>369</v>
      </c>
      <c r="C822" s="22" t="s">
        <v>376</v>
      </c>
      <c r="D822" s="22" t="s">
        <v>423</v>
      </c>
      <c r="E822" s="22" t="s">
        <v>650</v>
      </c>
      <c r="F822" s="22" t="s">
        <v>374</v>
      </c>
      <c r="G822" s="156">
        <f>34000-15605-7795</f>
        <v>10600</v>
      </c>
      <c r="H822" s="156">
        <v>10599.53095</v>
      </c>
      <c r="I822" s="156">
        <v>10599.53095</v>
      </c>
      <c r="J822" s="156">
        <f t="shared" si="193"/>
        <v>99.995575000000002</v>
      </c>
    </row>
    <row r="823" spans="1:10">
      <c r="A823" s="224" t="s">
        <v>651</v>
      </c>
      <c r="B823" s="140" t="s">
        <v>369</v>
      </c>
      <c r="C823" s="140" t="s">
        <v>376</v>
      </c>
      <c r="D823" s="140" t="s">
        <v>423</v>
      </c>
      <c r="E823" s="140" t="s">
        <v>652</v>
      </c>
      <c r="F823" s="140"/>
      <c r="G823" s="175">
        <f t="shared" ref="G823:I824" si="199">G824</f>
        <v>99000</v>
      </c>
      <c r="H823" s="175">
        <f t="shared" si="199"/>
        <v>68127.214380000005</v>
      </c>
      <c r="I823" s="175">
        <f t="shared" si="199"/>
        <v>94000</v>
      </c>
      <c r="J823" s="175">
        <f t="shared" si="193"/>
        <v>94.949494949494948</v>
      </c>
    </row>
    <row r="824" spans="1:10">
      <c r="A824" s="131" t="s">
        <v>486</v>
      </c>
      <c r="B824" s="22" t="s">
        <v>369</v>
      </c>
      <c r="C824" s="22" t="s">
        <v>376</v>
      </c>
      <c r="D824" s="22" t="s">
        <v>423</v>
      </c>
      <c r="E824" s="22" t="s">
        <v>652</v>
      </c>
      <c r="F824" s="22" t="s">
        <v>77</v>
      </c>
      <c r="G824" s="156">
        <f t="shared" si="199"/>
        <v>99000</v>
      </c>
      <c r="H824" s="156">
        <f t="shared" si="199"/>
        <v>68127.214380000005</v>
      </c>
      <c r="I824" s="156">
        <f t="shared" si="199"/>
        <v>94000</v>
      </c>
      <c r="J824" s="156">
        <f t="shared" si="193"/>
        <v>94.949494949494948</v>
      </c>
    </row>
    <row r="825" spans="1:10">
      <c r="A825" s="131" t="s">
        <v>78</v>
      </c>
      <c r="B825" s="22" t="s">
        <v>369</v>
      </c>
      <c r="C825" s="22" t="s">
        <v>376</v>
      </c>
      <c r="D825" s="22" t="s">
        <v>423</v>
      </c>
      <c r="E825" s="22" t="s">
        <v>652</v>
      </c>
      <c r="F825" s="22" t="s">
        <v>79</v>
      </c>
      <c r="G825" s="156">
        <f>90000+9000</f>
        <v>99000</v>
      </c>
      <c r="H825" s="156">
        <v>68127.214380000005</v>
      </c>
      <c r="I825" s="156">
        <f>90000+9000-5000</f>
        <v>94000</v>
      </c>
      <c r="J825" s="156">
        <f t="shared" si="193"/>
        <v>94.949494949494948</v>
      </c>
    </row>
    <row r="826" spans="1:10">
      <c r="A826" s="133" t="s">
        <v>337</v>
      </c>
      <c r="B826" s="132" t="s">
        <v>369</v>
      </c>
      <c r="C826" s="132" t="s">
        <v>376</v>
      </c>
      <c r="D826" s="132" t="s">
        <v>376</v>
      </c>
      <c r="E826" s="132"/>
      <c r="F826" s="132"/>
      <c r="G826" s="158">
        <f>G827+G847</f>
        <v>29607.024999999998</v>
      </c>
      <c r="H826" s="158">
        <f>H827+H847</f>
        <v>23069.054759999999</v>
      </c>
      <c r="I826" s="158">
        <f>I827+I847</f>
        <v>29607.024999999998</v>
      </c>
      <c r="J826" s="158">
        <f t="shared" si="193"/>
        <v>100</v>
      </c>
    </row>
    <row r="827" spans="1:10" ht="27">
      <c r="A827" s="174" t="s">
        <v>622</v>
      </c>
      <c r="B827" s="144" t="s">
        <v>369</v>
      </c>
      <c r="C827" s="144" t="s">
        <v>376</v>
      </c>
      <c r="D827" s="144" t="s">
        <v>376</v>
      </c>
      <c r="E827" s="144" t="s">
        <v>215</v>
      </c>
      <c r="F827" s="144"/>
      <c r="G827" s="218">
        <f>G828+G839</f>
        <v>29227.3</v>
      </c>
      <c r="H827" s="218">
        <f>H828+H839</f>
        <v>22690.48314</v>
      </c>
      <c r="I827" s="218">
        <f>I828+I839</f>
        <v>29227.3</v>
      </c>
      <c r="J827" s="218">
        <f t="shared" si="193"/>
        <v>100</v>
      </c>
    </row>
    <row r="828" spans="1:10">
      <c r="A828" s="133" t="s">
        <v>392</v>
      </c>
      <c r="B828" s="132" t="s">
        <v>369</v>
      </c>
      <c r="C828" s="132" t="s">
        <v>376</v>
      </c>
      <c r="D828" s="132" t="s">
        <v>376</v>
      </c>
      <c r="E828" s="132" t="s">
        <v>114</v>
      </c>
      <c r="F828" s="22"/>
      <c r="G828" s="158">
        <f t="shared" ref="G828:I829" si="200">G829</f>
        <v>14850</v>
      </c>
      <c r="H828" s="158">
        <f t="shared" si="200"/>
        <v>11351.86924</v>
      </c>
      <c r="I828" s="158">
        <f t="shared" si="200"/>
        <v>14850</v>
      </c>
      <c r="J828" s="158">
        <f t="shared" si="193"/>
        <v>100</v>
      </c>
    </row>
    <row r="829" spans="1:10" ht="24">
      <c r="A829" s="133" t="s">
        <v>222</v>
      </c>
      <c r="B829" s="132" t="s">
        <v>369</v>
      </c>
      <c r="C829" s="132" t="s">
        <v>376</v>
      </c>
      <c r="D829" s="132" t="s">
        <v>376</v>
      </c>
      <c r="E829" s="132" t="s">
        <v>114</v>
      </c>
      <c r="F829" s="22"/>
      <c r="G829" s="158">
        <f t="shared" si="200"/>
        <v>14850</v>
      </c>
      <c r="H829" s="158">
        <f t="shared" si="200"/>
        <v>11351.86924</v>
      </c>
      <c r="I829" s="158">
        <f t="shared" si="200"/>
        <v>14850</v>
      </c>
      <c r="J829" s="158">
        <f t="shared" si="193"/>
        <v>100</v>
      </c>
    </row>
    <row r="830" spans="1:10" ht="24">
      <c r="A830" s="224" t="s">
        <v>364</v>
      </c>
      <c r="B830" s="140" t="s">
        <v>369</v>
      </c>
      <c r="C830" s="140" t="s">
        <v>376</v>
      </c>
      <c r="D830" s="140" t="s">
        <v>376</v>
      </c>
      <c r="E830" s="140" t="s">
        <v>114</v>
      </c>
      <c r="F830" s="140"/>
      <c r="G830" s="175">
        <f>G831+G834</f>
        <v>14850</v>
      </c>
      <c r="H830" s="175">
        <f>H831+H834</f>
        <v>11351.86924</v>
      </c>
      <c r="I830" s="175">
        <f>I831+I834</f>
        <v>14850</v>
      </c>
      <c r="J830" s="175">
        <f t="shared" si="193"/>
        <v>100</v>
      </c>
    </row>
    <row r="831" spans="1:10">
      <c r="A831" s="212" t="s">
        <v>347</v>
      </c>
      <c r="B831" s="132" t="s">
        <v>369</v>
      </c>
      <c r="C831" s="132" t="s">
        <v>376</v>
      </c>
      <c r="D831" s="132" t="s">
        <v>376</v>
      </c>
      <c r="E831" s="132" t="s">
        <v>442</v>
      </c>
      <c r="F831" s="132"/>
      <c r="G831" s="158">
        <f t="shared" ref="G831:I832" si="201">G832</f>
        <v>13900</v>
      </c>
      <c r="H831" s="158">
        <f t="shared" si="201"/>
        <v>10595.808940000001</v>
      </c>
      <c r="I831" s="158">
        <f t="shared" si="201"/>
        <v>13900</v>
      </c>
      <c r="J831" s="158">
        <f t="shared" si="193"/>
        <v>100</v>
      </c>
    </row>
    <row r="832" spans="1:10" ht="36">
      <c r="A832" s="131" t="s">
        <v>72</v>
      </c>
      <c r="B832" s="22" t="s">
        <v>369</v>
      </c>
      <c r="C832" s="22" t="s">
        <v>376</v>
      </c>
      <c r="D832" s="22" t="s">
        <v>376</v>
      </c>
      <c r="E832" s="22" t="s">
        <v>442</v>
      </c>
      <c r="F832" s="22" t="s">
        <v>73</v>
      </c>
      <c r="G832" s="156">
        <f t="shared" si="201"/>
        <v>13900</v>
      </c>
      <c r="H832" s="156">
        <f t="shared" si="201"/>
        <v>10595.808940000001</v>
      </c>
      <c r="I832" s="156">
        <f t="shared" si="201"/>
        <v>13900</v>
      </c>
      <c r="J832" s="156">
        <f t="shared" si="193"/>
        <v>100</v>
      </c>
    </row>
    <row r="833" spans="1:10">
      <c r="A833" s="131" t="s">
        <v>74</v>
      </c>
      <c r="B833" s="22" t="s">
        <v>369</v>
      </c>
      <c r="C833" s="22" t="s">
        <v>376</v>
      </c>
      <c r="D833" s="22" t="s">
        <v>376</v>
      </c>
      <c r="E833" s="22" t="s">
        <v>442</v>
      </c>
      <c r="F833" s="22" t="s">
        <v>75</v>
      </c>
      <c r="G833" s="156">
        <f>10600+100+3200</f>
        <v>13900</v>
      </c>
      <c r="H833" s="156">
        <v>10595.808940000001</v>
      </c>
      <c r="I833" s="156">
        <f>10600+100+3200</f>
        <v>13900</v>
      </c>
      <c r="J833" s="156">
        <f t="shared" si="193"/>
        <v>100</v>
      </c>
    </row>
    <row r="834" spans="1:10">
      <c r="A834" s="133" t="s">
        <v>76</v>
      </c>
      <c r="B834" s="132" t="s">
        <v>369</v>
      </c>
      <c r="C834" s="132" t="s">
        <v>376</v>
      </c>
      <c r="D834" s="132" t="s">
        <v>376</v>
      </c>
      <c r="E834" s="132" t="s">
        <v>443</v>
      </c>
      <c r="F834" s="132"/>
      <c r="G834" s="158">
        <f>G835+G837</f>
        <v>950</v>
      </c>
      <c r="H834" s="158">
        <f>H835+H837</f>
        <v>756.06029999999998</v>
      </c>
      <c r="I834" s="158">
        <f>I835+I837</f>
        <v>950</v>
      </c>
      <c r="J834" s="158">
        <f t="shared" si="193"/>
        <v>100</v>
      </c>
    </row>
    <row r="835" spans="1:10">
      <c r="A835" s="131" t="s">
        <v>486</v>
      </c>
      <c r="B835" s="22" t="s">
        <v>369</v>
      </c>
      <c r="C835" s="22" t="s">
        <v>376</v>
      </c>
      <c r="D835" s="22" t="s">
        <v>376</v>
      </c>
      <c r="E835" s="22" t="s">
        <v>443</v>
      </c>
      <c r="F835" s="22" t="s">
        <v>77</v>
      </c>
      <c r="G835" s="156">
        <f>G836</f>
        <v>920</v>
      </c>
      <c r="H835" s="156">
        <f>H836</f>
        <v>755.34929999999997</v>
      </c>
      <c r="I835" s="156">
        <f>I836</f>
        <v>920</v>
      </c>
      <c r="J835" s="156">
        <f t="shared" si="193"/>
        <v>100</v>
      </c>
    </row>
    <row r="836" spans="1:10">
      <c r="A836" s="131" t="s">
        <v>78</v>
      </c>
      <c r="B836" s="22" t="s">
        <v>369</v>
      </c>
      <c r="C836" s="22" t="s">
        <v>376</v>
      </c>
      <c r="D836" s="22" t="s">
        <v>376</v>
      </c>
      <c r="E836" s="22" t="s">
        <v>443</v>
      </c>
      <c r="F836" s="22" t="s">
        <v>79</v>
      </c>
      <c r="G836" s="156">
        <f>920</f>
        <v>920</v>
      </c>
      <c r="H836" s="156">
        <v>755.34929999999997</v>
      </c>
      <c r="I836" s="156">
        <f>920</f>
        <v>920</v>
      </c>
      <c r="J836" s="156">
        <f t="shared" si="193"/>
        <v>100</v>
      </c>
    </row>
    <row r="837" spans="1:10">
      <c r="A837" s="131" t="s">
        <v>80</v>
      </c>
      <c r="B837" s="22" t="s">
        <v>369</v>
      </c>
      <c r="C837" s="22" t="s">
        <v>376</v>
      </c>
      <c r="D837" s="22" t="s">
        <v>376</v>
      </c>
      <c r="E837" s="22" t="s">
        <v>443</v>
      </c>
      <c r="F837" s="22" t="s">
        <v>81</v>
      </c>
      <c r="G837" s="156">
        <f>G838</f>
        <v>30</v>
      </c>
      <c r="H837" s="156">
        <f>H838</f>
        <v>0.71099999999999997</v>
      </c>
      <c r="I837" s="156">
        <f>I838</f>
        <v>30</v>
      </c>
      <c r="J837" s="156">
        <f t="shared" si="193"/>
        <v>100</v>
      </c>
    </row>
    <row r="838" spans="1:10">
      <c r="A838" s="131" t="s">
        <v>445</v>
      </c>
      <c r="B838" s="22" t="s">
        <v>369</v>
      </c>
      <c r="C838" s="22" t="s">
        <v>376</v>
      </c>
      <c r="D838" s="22" t="s">
        <v>376</v>
      </c>
      <c r="E838" s="22" t="s">
        <v>443</v>
      </c>
      <c r="F838" s="22" t="s">
        <v>82</v>
      </c>
      <c r="G838" s="156">
        <f>30</f>
        <v>30</v>
      </c>
      <c r="H838" s="156">
        <v>0.71099999999999997</v>
      </c>
      <c r="I838" s="156">
        <f>30</f>
        <v>30</v>
      </c>
      <c r="J838" s="156">
        <f t="shared" si="193"/>
        <v>100</v>
      </c>
    </row>
    <row r="839" spans="1:10">
      <c r="A839" s="229" t="s">
        <v>55</v>
      </c>
      <c r="B839" s="132" t="s">
        <v>369</v>
      </c>
      <c r="C839" s="132" t="s">
        <v>376</v>
      </c>
      <c r="D839" s="132" t="s">
        <v>376</v>
      </c>
      <c r="E839" s="210" t="s">
        <v>653</v>
      </c>
      <c r="F839" s="132"/>
      <c r="G839" s="158">
        <f>G840</f>
        <v>14377.3</v>
      </c>
      <c r="H839" s="158">
        <f>H840</f>
        <v>11338.6139</v>
      </c>
      <c r="I839" s="158">
        <f>I840</f>
        <v>14377.3</v>
      </c>
      <c r="J839" s="158">
        <f t="shared" si="193"/>
        <v>100</v>
      </c>
    </row>
    <row r="840" spans="1:10">
      <c r="A840" s="150" t="s">
        <v>425</v>
      </c>
      <c r="B840" s="148" t="s">
        <v>369</v>
      </c>
      <c r="C840" s="148" t="s">
        <v>376</v>
      </c>
      <c r="D840" s="148" t="s">
        <v>376</v>
      </c>
      <c r="E840" s="148" t="s">
        <v>653</v>
      </c>
      <c r="F840" s="148"/>
      <c r="G840" s="178">
        <f>G841+G843+G845</f>
        <v>14377.3</v>
      </c>
      <c r="H840" s="178">
        <f>H841+H843+H845</f>
        <v>11338.6139</v>
      </c>
      <c r="I840" s="178">
        <f>I841+I843+I845</f>
        <v>14377.3</v>
      </c>
      <c r="J840" s="178">
        <f t="shared" si="193"/>
        <v>100</v>
      </c>
    </row>
    <row r="841" spans="1:10" ht="36">
      <c r="A841" s="131" t="s">
        <v>72</v>
      </c>
      <c r="B841" s="22" t="s">
        <v>369</v>
      </c>
      <c r="C841" s="22" t="s">
        <v>376</v>
      </c>
      <c r="D841" s="22" t="s">
        <v>376</v>
      </c>
      <c r="E841" s="22" t="s">
        <v>653</v>
      </c>
      <c r="F841" s="22" t="s">
        <v>73</v>
      </c>
      <c r="G841" s="156">
        <f>G842</f>
        <v>10111.9</v>
      </c>
      <c r="H841" s="156">
        <f>H842</f>
        <v>7949.3684300000004</v>
      </c>
      <c r="I841" s="156">
        <f>I842</f>
        <v>10111.9</v>
      </c>
      <c r="J841" s="156">
        <f t="shared" si="193"/>
        <v>100</v>
      </c>
    </row>
    <row r="842" spans="1:10">
      <c r="A842" s="131" t="s">
        <v>426</v>
      </c>
      <c r="B842" s="22" t="s">
        <v>369</v>
      </c>
      <c r="C842" s="22" t="s">
        <v>376</v>
      </c>
      <c r="D842" s="22" t="s">
        <v>376</v>
      </c>
      <c r="E842" s="22" t="s">
        <v>653</v>
      </c>
      <c r="F842" s="22" t="s">
        <v>427</v>
      </c>
      <c r="G842" s="156">
        <f>2900.5+50+876+2270+685-19.6+650+500+2200</f>
        <v>10111.9</v>
      </c>
      <c r="H842" s="156">
        <v>7949.3684300000004</v>
      </c>
      <c r="I842" s="156">
        <f>2900.5+50+876+2270+685-19.6+650+500+2200</f>
        <v>10111.9</v>
      </c>
      <c r="J842" s="156">
        <f t="shared" si="193"/>
        <v>100</v>
      </c>
    </row>
    <row r="843" spans="1:10">
      <c r="A843" s="131" t="s">
        <v>486</v>
      </c>
      <c r="B843" s="22" t="s">
        <v>369</v>
      </c>
      <c r="C843" s="22" t="s">
        <v>376</v>
      </c>
      <c r="D843" s="22" t="s">
        <v>376</v>
      </c>
      <c r="E843" s="22" t="s">
        <v>653</v>
      </c>
      <c r="F843" s="22" t="s">
        <v>77</v>
      </c>
      <c r="G843" s="156">
        <f>G844</f>
        <v>3362.4</v>
      </c>
      <c r="H843" s="156">
        <f>H844</f>
        <v>2690.2914700000001</v>
      </c>
      <c r="I843" s="156">
        <f>I844</f>
        <v>3362.4</v>
      </c>
      <c r="J843" s="156">
        <f t="shared" si="193"/>
        <v>100</v>
      </c>
    </row>
    <row r="844" spans="1:10">
      <c r="A844" s="131" t="s">
        <v>78</v>
      </c>
      <c r="B844" s="22" t="s">
        <v>369</v>
      </c>
      <c r="C844" s="22" t="s">
        <v>376</v>
      </c>
      <c r="D844" s="22" t="s">
        <v>376</v>
      </c>
      <c r="E844" s="22" t="s">
        <v>653</v>
      </c>
      <c r="F844" s="22" t="s">
        <v>79</v>
      </c>
      <c r="G844" s="156">
        <f>78.7+83.2+70+198.5+50+6+80+45+75+5+682+2140-650+500-1</f>
        <v>3362.4</v>
      </c>
      <c r="H844" s="156">
        <v>2690.2914700000001</v>
      </c>
      <c r="I844" s="156">
        <f>78.7+83.2+70+198.5+50+6+80+45+75+5+682+2140-650+500-1</f>
        <v>3362.4</v>
      </c>
      <c r="J844" s="156">
        <f t="shared" si="193"/>
        <v>100</v>
      </c>
    </row>
    <row r="845" spans="1:10">
      <c r="A845" s="131" t="s">
        <v>80</v>
      </c>
      <c r="B845" s="22" t="s">
        <v>369</v>
      </c>
      <c r="C845" s="22" t="s">
        <v>376</v>
      </c>
      <c r="D845" s="22" t="s">
        <v>376</v>
      </c>
      <c r="E845" s="22" t="s">
        <v>653</v>
      </c>
      <c r="F845" s="22" t="s">
        <v>81</v>
      </c>
      <c r="G845" s="156">
        <f>G846</f>
        <v>903</v>
      </c>
      <c r="H845" s="156">
        <f>H846</f>
        <v>698.95399999999995</v>
      </c>
      <c r="I845" s="156">
        <f>I846</f>
        <v>903</v>
      </c>
      <c r="J845" s="156">
        <f t="shared" si="193"/>
        <v>100</v>
      </c>
    </row>
    <row r="846" spans="1:10">
      <c r="A846" s="131" t="s">
        <v>445</v>
      </c>
      <c r="B846" s="22" t="s">
        <v>369</v>
      </c>
      <c r="C846" s="22" t="s">
        <v>376</v>
      </c>
      <c r="D846" s="22" t="s">
        <v>376</v>
      </c>
      <c r="E846" s="22" t="s">
        <v>653</v>
      </c>
      <c r="F846" s="22" t="s">
        <v>82</v>
      </c>
      <c r="G846" s="156">
        <f>890+12+1</f>
        <v>903</v>
      </c>
      <c r="H846" s="156">
        <v>698.95399999999995</v>
      </c>
      <c r="I846" s="156">
        <f>890+12+1</f>
        <v>903</v>
      </c>
      <c r="J846" s="156">
        <f t="shared" si="193"/>
        <v>100</v>
      </c>
    </row>
    <row r="847" spans="1:10">
      <c r="A847" s="173" t="s">
        <v>67</v>
      </c>
      <c r="B847" s="140" t="s">
        <v>369</v>
      </c>
      <c r="C847" s="140" t="s">
        <v>376</v>
      </c>
      <c r="D847" s="140" t="s">
        <v>376</v>
      </c>
      <c r="E847" s="140" t="s">
        <v>187</v>
      </c>
      <c r="F847" s="22"/>
      <c r="G847" s="175">
        <f t="shared" ref="G847:I850" si="202">G848</f>
        <v>379.72500000000002</v>
      </c>
      <c r="H847" s="175">
        <f t="shared" si="202"/>
        <v>378.57162</v>
      </c>
      <c r="I847" s="175">
        <f t="shared" si="202"/>
        <v>379.72500000000002</v>
      </c>
      <c r="J847" s="175">
        <f t="shared" si="193"/>
        <v>100</v>
      </c>
    </row>
    <row r="848" spans="1:10">
      <c r="A848" s="212" t="s">
        <v>272</v>
      </c>
      <c r="B848" s="132" t="s">
        <v>369</v>
      </c>
      <c r="C848" s="132" t="s">
        <v>376</v>
      </c>
      <c r="D848" s="132" t="s">
        <v>376</v>
      </c>
      <c r="E848" s="132" t="s">
        <v>188</v>
      </c>
      <c r="F848" s="22"/>
      <c r="G848" s="158">
        <f t="shared" si="202"/>
        <v>379.72500000000002</v>
      </c>
      <c r="H848" s="158">
        <f t="shared" si="202"/>
        <v>378.57162</v>
      </c>
      <c r="I848" s="158">
        <f t="shared" si="202"/>
        <v>379.72500000000002</v>
      </c>
      <c r="J848" s="158">
        <f t="shared" si="193"/>
        <v>100</v>
      </c>
    </row>
    <row r="849" spans="1:10">
      <c r="A849" s="133" t="s">
        <v>774</v>
      </c>
      <c r="B849" s="132" t="s">
        <v>369</v>
      </c>
      <c r="C849" s="132" t="s">
        <v>376</v>
      </c>
      <c r="D849" s="132" t="s">
        <v>376</v>
      </c>
      <c r="E849" s="132" t="s">
        <v>769</v>
      </c>
      <c r="F849" s="132"/>
      <c r="G849" s="158">
        <f t="shared" si="202"/>
        <v>379.72500000000002</v>
      </c>
      <c r="H849" s="158">
        <f t="shared" si="202"/>
        <v>378.57162</v>
      </c>
      <c r="I849" s="158">
        <f t="shared" si="202"/>
        <v>379.72500000000002</v>
      </c>
      <c r="J849" s="158">
        <f t="shared" si="193"/>
        <v>100</v>
      </c>
    </row>
    <row r="850" spans="1:10" ht="36">
      <c r="A850" s="131" t="s">
        <v>72</v>
      </c>
      <c r="B850" s="22" t="s">
        <v>369</v>
      </c>
      <c r="C850" s="22" t="s">
        <v>376</v>
      </c>
      <c r="D850" s="22" t="s">
        <v>376</v>
      </c>
      <c r="E850" s="22" t="s">
        <v>769</v>
      </c>
      <c r="F850" s="22" t="s">
        <v>73</v>
      </c>
      <c r="G850" s="156">
        <f t="shared" si="202"/>
        <v>379.72500000000002</v>
      </c>
      <c r="H850" s="156">
        <f t="shared" si="202"/>
        <v>378.57162</v>
      </c>
      <c r="I850" s="156">
        <f t="shared" si="202"/>
        <v>379.72500000000002</v>
      </c>
      <c r="J850" s="156">
        <f t="shared" si="193"/>
        <v>100</v>
      </c>
    </row>
    <row r="851" spans="1:10">
      <c r="A851" s="131" t="s">
        <v>74</v>
      </c>
      <c r="B851" s="22" t="s">
        <v>369</v>
      </c>
      <c r="C851" s="22" t="s">
        <v>376</v>
      </c>
      <c r="D851" s="22" t="s">
        <v>376</v>
      </c>
      <c r="E851" s="22" t="s">
        <v>769</v>
      </c>
      <c r="F851" s="22" t="s">
        <v>75</v>
      </c>
      <c r="G851" s="156">
        <v>379.72500000000002</v>
      </c>
      <c r="H851" s="156">
        <v>378.57162</v>
      </c>
      <c r="I851" s="156">
        <v>379.72500000000002</v>
      </c>
      <c r="J851" s="156">
        <f t="shared" si="193"/>
        <v>100</v>
      </c>
    </row>
    <row r="852" spans="1:10" ht="31.5">
      <c r="A852" s="213" t="s">
        <v>370</v>
      </c>
      <c r="B852" s="214" t="s">
        <v>371</v>
      </c>
      <c r="C852" s="151"/>
      <c r="D852" s="151"/>
      <c r="E852" s="214"/>
      <c r="F852" s="214"/>
      <c r="G852" s="215">
        <f>G853+G874</f>
        <v>65087.698000000004</v>
      </c>
      <c r="H852" s="215">
        <f>H853+H874</f>
        <v>32641.376659999998</v>
      </c>
      <c r="I852" s="215">
        <f>I853+I874</f>
        <v>63487.698000000004</v>
      </c>
      <c r="J852" s="215">
        <f t="shared" si="193"/>
        <v>97.541778171352746</v>
      </c>
    </row>
    <row r="853" spans="1:10">
      <c r="A853" s="133" t="s">
        <v>103</v>
      </c>
      <c r="B853" s="132" t="s">
        <v>371</v>
      </c>
      <c r="C853" s="132" t="s">
        <v>69</v>
      </c>
      <c r="D853" s="132" t="s">
        <v>70</v>
      </c>
      <c r="E853" s="132"/>
      <c r="F853" s="132"/>
      <c r="G853" s="158">
        <f>G854+G868</f>
        <v>19604.664000000001</v>
      </c>
      <c r="H853" s="158">
        <f>H854+H868</f>
        <v>14924.750189999999</v>
      </c>
      <c r="I853" s="158">
        <f>I854+I868</f>
        <v>19604.664000000001</v>
      </c>
      <c r="J853" s="158">
        <f t="shared" si="193"/>
        <v>100</v>
      </c>
    </row>
    <row r="854" spans="1:10" ht="24">
      <c r="A854" s="133" t="s">
        <v>282</v>
      </c>
      <c r="B854" s="132" t="s">
        <v>371</v>
      </c>
      <c r="C854" s="132" t="s">
        <v>69</v>
      </c>
      <c r="D854" s="132" t="s">
        <v>270</v>
      </c>
      <c r="E854" s="132"/>
      <c r="F854" s="132"/>
      <c r="G854" s="158">
        <f t="shared" ref="G854:I855" si="203">G855</f>
        <v>17204.664000000001</v>
      </c>
      <c r="H854" s="158">
        <f t="shared" si="203"/>
        <v>13092.055069999999</v>
      </c>
      <c r="I854" s="158">
        <f t="shared" si="203"/>
        <v>17204.664000000001</v>
      </c>
      <c r="J854" s="158">
        <f t="shared" si="193"/>
        <v>100</v>
      </c>
    </row>
    <row r="855" spans="1:10" ht="24">
      <c r="A855" s="173" t="s">
        <v>293</v>
      </c>
      <c r="B855" s="140" t="s">
        <v>371</v>
      </c>
      <c r="C855" s="140" t="s">
        <v>69</v>
      </c>
      <c r="D855" s="140" t="s">
        <v>270</v>
      </c>
      <c r="E855" s="140" t="s">
        <v>187</v>
      </c>
      <c r="F855" s="10"/>
      <c r="G855" s="216">
        <f t="shared" si="203"/>
        <v>17204.664000000001</v>
      </c>
      <c r="H855" s="216">
        <f t="shared" si="203"/>
        <v>13092.055069999999</v>
      </c>
      <c r="I855" s="216">
        <f t="shared" si="203"/>
        <v>17204.664000000001</v>
      </c>
      <c r="J855" s="216">
        <f t="shared" si="193"/>
        <v>100</v>
      </c>
    </row>
    <row r="856" spans="1:10" ht="13.5">
      <c r="A856" s="212" t="s">
        <v>272</v>
      </c>
      <c r="B856" s="132" t="s">
        <v>371</v>
      </c>
      <c r="C856" s="132" t="s">
        <v>69</v>
      </c>
      <c r="D856" s="132" t="s">
        <v>270</v>
      </c>
      <c r="E856" s="132" t="s">
        <v>188</v>
      </c>
      <c r="F856" s="217"/>
      <c r="G856" s="218">
        <f>G857+G860+G865</f>
        <v>17204.664000000001</v>
      </c>
      <c r="H856" s="218">
        <f>H857+H860+H865</f>
        <v>13092.055069999999</v>
      </c>
      <c r="I856" s="218">
        <f>I857+I860+I865</f>
        <v>17204.664000000001</v>
      </c>
      <c r="J856" s="218">
        <f t="shared" si="193"/>
        <v>100</v>
      </c>
    </row>
    <row r="857" spans="1:10">
      <c r="A857" s="212" t="s">
        <v>291</v>
      </c>
      <c r="B857" s="132" t="s">
        <v>371</v>
      </c>
      <c r="C857" s="132" t="s">
        <v>69</v>
      </c>
      <c r="D857" s="132" t="s">
        <v>270</v>
      </c>
      <c r="E857" s="132" t="s">
        <v>189</v>
      </c>
      <c r="F857" s="10"/>
      <c r="G857" s="216">
        <f t="shared" ref="G857:I858" si="204">G858</f>
        <v>13693</v>
      </c>
      <c r="H857" s="216">
        <f t="shared" si="204"/>
        <v>10249.06114</v>
      </c>
      <c r="I857" s="216">
        <f t="shared" si="204"/>
        <v>13693</v>
      </c>
      <c r="J857" s="216">
        <f t="shared" si="193"/>
        <v>100</v>
      </c>
    </row>
    <row r="858" spans="1:10" ht="36">
      <c r="A858" s="131" t="s">
        <v>72</v>
      </c>
      <c r="B858" s="22" t="s">
        <v>371</v>
      </c>
      <c r="C858" s="22" t="s">
        <v>69</v>
      </c>
      <c r="D858" s="22" t="s">
        <v>270</v>
      </c>
      <c r="E858" s="22" t="s">
        <v>189</v>
      </c>
      <c r="F858" s="22" t="s">
        <v>73</v>
      </c>
      <c r="G858" s="156">
        <f t="shared" si="204"/>
        <v>13693</v>
      </c>
      <c r="H858" s="156">
        <f t="shared" si="204"/>
        <v>10249.06114</v>
      </c>
      <c r="I858" s="156">
        <f t="shared" si="204"/>
        <v>13693</v>
      </c>
      <c r="J858" s="156">
        <f t="shared" si="193"/>
        <v>100</v>
      </c>
    </row>
    <row r="859" spans="1:10">
      <c r="A859" s="131" t="s">
        <v>74</v>
      </c>
      <c r="B859" s="22" t="s">
        <v>371</v>
      </c>
      <c r="C859" s="22" t="s">
        <v>69</v>
      </c>
      <c r="D859" s="22" t="s">
        <v>270</v>
      </c>
      <c r="E859" s="22" t="s">
        <v>189</v>
      </c>
      <c r="F859" s="22" t="s">
        <v>75</v>
      </c>
      <c r="G859" s="156">
        <f>10463+70+3160</f>
        <v>13693</v>
      </c>
      <c r="H859" s="156">
        <v>10249.06114</v>
      </c>
      <c r="I859" s="156">
        <f>10463+70+3160</f>
        <v>13693</v>
      </c>
      <c r="J859" s="156">
        <f t="shared" si="193"/>
        <v>100</v>
      </c>
    </row>
    <row r="860" spans="1:10">
      <c r="A860" s="133" t="s">
        <v>292</v>
      </c>
      <c r="B860" s="132" t="s">
        <v>371</v>
      </c>
      <c r="C860" s="132" t="s">
        <v>69</v>
      </c>
      <c r="D860" s="132" t="s">
        <v>270</v>
      </c>
      <c r="E860" s="132" t="s">
        <v>190</v>
      </c>
      <c r="F860" s="132"/>
      <c r="G860" s="158">
        <f>G861+G863</f>
        <v>2982</v>
      </c>
      <c r="H860" s="158">
        <f>H861+H863</f>
        <v>2313.3328999999999</v>
      </c>
      <c r="I860" s="158">
        <f>I861+I863</f>
        <v>2982</v>
      </c>
      <c r="J860" s="158">
        <f t="shared" si="193"/>
        <v>100</v>
      </c>
    </row>
    <row r="861" spans="1:10">
      <c r="A861" s="131" t="s">
        <v>486</v>
      </c>
      <c r="B861" s="22" t="s">
        <v>371</v>
      </c>
      <c r="C861" s="22" t="s">
        <v>69</v>
      </c>
      <c r="D861" s="22" t="s">
        <v>270</v>
      </c>
      <c r="E861" s="22" t="s">
        <v>190</v>
      </c>
      <c r="F861" s="22" t="s">
        <v>77</v>
      </c>
      <c r="G861" s="156">
        <f>G862</f>
        <v>2977</v>
      </c>
      <c r="H861" s="156">
        <f>H862</f>
        <v>2313.3328999999999</v>
      </c>
      <c r="I861" s="156">
        <f>I862</f>
        <v>2977</v>
      </c>
      <c r="J861" s="156">
        <f t="shared" si="193"/>
        <v>100</v>
      </c>
    </row>
    <row r="862" spans="1:10">
      <c r="A862" s="131" t="s">
        <v>78</v>
      </c>
      <c r="B862" s="22" t="s">
        <v>371</v>
      </c>
      <c r="C862" s="22" t="s">
        <v>69</v>
      </c>
      <c r="D862" s="22" t="s">
        <v>270</v>
      </c>
      <c r="E862" s="22" t="s">
        <v>190</v>
      </c>
      <c r="F862" s="22" t="s">
        <v>79</v>
      </c>
      <c r="G862" s="156">
        <f>250+120+1712+500+395</f>
        <v>2977</v>
      </c>
      <c r="H862" s="156">
        <v>2313.3328999999999</v>
      </c>
      <c r="I862" s="156">
        <f>250+120+1712+500+395</f>
        <v>2977</v>
      </c>
      <c r="J862" s="156">
        <f t="shared" si="193"/>
        <v>100</v>
      </c>
    </row>
    <row r="863" spans="1:10">
      <c r="A863" s="131" t="s">
        <v>80</v>
      </c>
      <c r="B863" s="22" t="s">
        <v>371</v>
      </c>
      <c r="C863" s="22" t="s">
        <v>69</v>
      </c>
      <c r="D863" s="22" t="s">
        <v>270</v>
      </c>
      <c r="E863" s="22" t="s">
        <v>190</v>
      </c>
      <c r="F863" s="22" t="s">
        <v>81</v>
      </c>
      <c r="G863" s="156">
        <f>G864</f>
        <v>5</v>
      </c>
      <c r="H863" s="323">
        <f>H864</f>
        <v>0</v>
      </c>
      <c r="I863" s="156">
        <f>I864</f>
        <v>5</v>
      </c>
      <c r="J863" s="156">
        <f t="shared" si="193"/>
        <v>100</v>
      </c>
    </row>
    <row r="864" spans="1:10" s="219" customFormat="1">
      <c r="A864" s="131" t="s">
        <v>445</v>
      </c>
      <c r="B864" s="22" t="s">
        <v>371</v>
      </c>
      <c r="C864" s="22" t="s">
        <v>69</v>
      </c>
      <c r="D864" s="22" t="s">
        <v>270</v>
      </c>
      <c r="E864" s="22" t="s">
        <v>190</v>
      </c>
      <c r="F864" s="22" t="s">
        <v>82</v>
      </c>
      <c r="G864" s="156">
        <v>5</v>
      </c>
      <c r="H864" s="323">
        <v>0</v>
      </c>
      <c r="I864" s="156">
        <v>5</v>
      </c>
      <c r="J864" s="156">
        <f t="shared" si="193"/>
        <v>100</v>
      </c>
    </row>
    <row r="865" spans="1:10" s="219" customFormat="1">
      <c r="A865" s="133" t="s">
        <v>774</v>
      </c>
      <c r="B865" s="132" t="s">
        <v>371</v>
      </c>
      <c r="C865" s="132" t="s">
        <v>69</v>
      </c>
      <c r="D865" s="132" t="s">
        <v>270</v>
      </c>
      <c r="E865" s="132" t="s">
        <v>769</v>
      </c>
      <c r="F865" s="132"/>
      <c r="G865" s="158">
        <f t="shared" ref="G865:I866" si="205">G866</f>
        <v>529.66399999999999</v>
      </c>
      <c r="H865" s="158">
        <f t="shared" si="205"/>
        <v>529.66102999999998</v>
      </c>
      <c r="I865" s="158">
        <f t="shared" si="205"/>
        <v>529.66399999999999</v>
      </c>
      <c r="J865" s="158">
        <f t="shared" si="193"/>
        <v>100</v>
      </c>
    </row>
    <row r="866" spans="1:10" s="219" customFormat="1" ht="36">
      <c r="A866" s="131" t="s">
        <v>72</v>
      </c>
      <c r="B866" s="22" t="s">
        <v>371</v>
      </c>
      <c r="C866" s="22" t="s">
        <v>69</v>
      </c>
      <c r="D866" s="22" t="s">
        <v>270</v>
      </c>
      <c r="E866" s="22" t="s">
        <v>769</v>
      </c>
      <c r="F866" s="22" t="s">
        <v>73</v>
      </c>
      <c r="G866" s="156">
        <f t="shared" si="205"/>
        <v>529.66399999999999</v>
      </c>
      <c r="H866" s="156">
        <f t="shared" si="205"/>
        <v>529.66102999999998</v>
      </c>
      <c r="I866" s="156">
        <f t="shared" si="205"/>
        <v>529.66399999999999</v>
      </c>
      <c r="J866" s="156">
        <f t="shared" si="193"/>
        <v>100</v>
      </c>
    </row>
    <row r="867" spans="1:10" s="219" customFormat="1">
      <c r="A867" s="131" t="s">
        <v>74</v>
      </c>
      <c r="B867" s="22" t="s">
        <v>371</v>
      </c>
      <c r="C867" s="22" t="s">
        <v>69</v>
      </c>
      <c r="D867" s="22" t="s">
        <v>270</v>
      </c>
      <c r="E867" s="22" t="s">
        <v>769</v>
      </c>
      <c r="F867" s="22" t="s">
        <v>75</v>
      </c>
      <c r="G867" s="156">
        <v>529.66399999999999</v>
      </c>
      <c r="H867" s="156">
        <v>529.66102999999998</v>
      </c>
      <c r="I867" s="156">
        <v>529.66399999999999</v>
      </c>
      <c r="J867" s="156">
        <f t="shared" ref="J867:J930" si="206">I867/G867*100</f>
        <v>100</v>
      </c>
    </row>
    <row r="868" spans="1:10" s="219" customFormat="1">
      <c r="A868" s="133" t="s">
        <v>285</v>
      </c>
      <c r="B868" s="132" t="s">
        <v>371</v>
      </c>
      <c r="C868" s="132" t="s">
        <v>69</v>
      </c>
      <c r="D868" s="132" t="s">
        <v>86</v>
      </c>
      <c r="E868" s="22"/>
      <c r="F868" s="132"/>
      <c r="G868" s="158">
        <f t="shared" ref="G868:I869" si="207">G869</f>
        <v>2400</v>
      </c>
      <c r="H868" s="158">
        <f t="shared" si="207"/>
        <v>1832.6951200000001</v>
      </c>
      <c r="I868" s="158">
        <f t="shared" si="207"/>
        <v>2400</v>
      </c>
      <c r="J868" s="158">
        <f t="shared" si="206"/>
        <v>100</v>
      </c>
    </row>
    <row r="869" spans="1:10" s="219" customFormat="1">
      <c r="A869" s="173" t="s">
        <v>67</v>
      </c>
      <c r="B869" s="140" t="s">
        <v>371</v>
      </c>
      <c r="C869" s="140" t="s">
        <v>69</v>
      </c>
      <c r="D869" s="140" t="s">
        <v>86</v>
      </c>
      <c r="E869" s="140" t="s">
        <v>187</v>
      </c>
      <c r="F869" s="140"/>
      <c r="G869" s="175">
        <f t="shared" si="207"/>
        <v>2400</v>
      </c>
      <c r="H869" s="175">
        <f t="shared" si="207"/>
        <v>1832.6951200000001</v>
      </c>
      <c r="I869" s="175">
        <f t="shared" si="207"/>
        <v>2400</v>
      </c>
      <c r="J869" s="175">
        <f t="shared" si="206"/>
        <v>100</v>
      </c>
    </row>
    <row r="870" spans="1:10" s="219" customFormat="1">
      <c r="A870" s="133" t="s">
        <v>272</v>
      </c>
      <c r="B870" s="132" t="s">
        <v>371</v>
      </c>
      <c r="C870" s="132" t="s">
        <v>69</v>
      </c>
      <c r="D870" s="132" t="s">
        <v>86</v>
      </c>
      <c r="E870" s="132" t="s">
        <v>188</v>
      </c>
      <c r="F870" s="29"/>
      <c r="G870" s="158">
        <f t="shared" ref="G870:I872" si="208">G871</f>
        <v>2400</v>
      </c>
      <c r="H870" s="158">
        <f t="shared" si="208"/>
        <v>1832.6951200000001</v>
      </c>
      <c r="I870" s="158">
        <f t="shared" si="208"/>
        <v>2400</v>
      </c>
      <c r="J870" s="158">
        <f t="shared" si="206"/>
        <v>100</v>
      </c>
    </row>
    <row r="871" spans="1:10" s="219" customFormat="1">
      <c r="A871" s="224" t="s">
        <v>286</v>
      </c>
      <c r="B871" s="140" t="s">
        <v>371</v>
      </c>
      <c r="C871" s="140" t="s">
        <v>69</v>
      </c>
      <c r="D871" s="140" t="s">
        <v>86</v>
      </c>
      <c r="E871" s="231" t="s">
        <v>525</v>
      </c>
      <c r="F871" s="140"/>
      <c r="G871" s="175">
        <f t="shared" si="208"/>
        <v>2400</v>
      </c>
      <c r="H871" s="175">
        <f t="shared" si="208"/>
        <v>1832.6951200000001</v>
      </c>
      <c r="I871" s="175">
        <f t="shared" si="208"/>
        <v>2400</v>
      </c>
      <c r="J871" s="175">
        <f t="shared" si="206"/>
        <v>100</v>
      </c>
    </row>
    <row r="872" spans="1:10" s="219" customFormat="1">
      <c r="A872" s="131" t="s">
        <v>80</v>
      </c>
      <c r="B872" s="22" t="s">
        <v>371</v>
      </c>
      <c r="C872" s="22" t="s">
        <v>69</v>
      </c>
      <c r="D872" s="22" t="s">
        <v>86</v>
      </c>
      <c r="E872" s="211" t="s">
        <v>525</v>
      </c>
      <c r="F872" s="22" t="s">
        <v>81</v>
      </c>
      <c r="G872" s="156">
        <f t="shared" si="208"/>
        <v>2400</v>
      </c>
      <c r="H872" s="156">
        <f t="shared" si="208"/>
        <v>1832.6951200000001</v>
      </c>
      <c r="I872" s="156">
        <f t="shared" si="208"/>
        <v>2400</v>
      </c>
      <c r="J872" s="156">
        <f t="shared" si="206"/>
        <v>100</v>
      </c>
    </row>
    <row r="873" spans="1:10" s="219" customFormat="1">
      <c r="A873" s="131" t="s">
        <v>133</v>
      </c>
      <c r="B873" s="22" t="s">
        <v>371</v>
      </c>
      <c r="C873" s="22" t="s">
        <v>69</v>
      </c>
      <c r="D873" s="22" t="s">
        <v>86</v>
      </c>
      <c r="E873" s="211" t="s">
        <v>525</v>
      </c>
      <c r="F873" s="22" t="s">
        <v>136</v>
      </c>
      <c r="G873" s="156">
        <f>2400</f>
        <v>2400</v>
      </c>
      <c r="H873" s="156">
        <v>1832.6951200000001</v>
      </c>
      <c r="I873" s="156">
        <f>2400</f>
        <v>2400</v>
      </c>
      <c r="J873" s="156">
        <f t="shared" si="206"/>
        <v>100</v>
      </c>
    </row>
    <row r="874" spans="1:10">
      <c r="A874" s="133" t="s">
        <v>655</v>
      </c>
      <c r="B874" s="132" t="s">
        <v>371</v>
      </c>
      <c r="C874" s="132" t="s">
        <v>86</v>
      </c>
      <c r="D874" s="132" t="s">
        <v>70</v>
      </c>
      <c r="E874" s="132"/>
      <c r="F874" s="132"/>
      <c r="G874" s="158">
        <f t="shared" ref="G874:I878" si="209">G875</f>
        <v>45483.034</v>
      </c>
      <c r="H874" s="158">
        <f t="shared" si="209"/>
        <v>17716.626469999999</v>
      </c>
      <c r="I874" s="158">
        <f t="shared" si="209"/>
        <v>43883.034</v>
      </c>
      <c r="J874" s="158">
        <f t="shared" si="206"/>
        <v>96.482204771124103</v>
      </c>
    </row>
    <row r="875" spans="1:10">
      <c r="A875" s="133" t="s">
        <v>272</v>
      </c>
      <c r="B875" s="132" t="s">
        <v>371</v>
      </c>
      <c r="C875" s="132" t="s">
        <v>86</v>
      </c>
      <c r="D875" s="132" t="s">
        <v>69</v>
      </c>
      <c r="E875" s="210" t="s">
        <v>188</v>
      </c>
      <c r="F875" s="132"/>
      <c r="G875" s="158">
        <f t="shared" si="209"/>
        <v>45483.034</v>
      </c>
      <c r="H875" s="158">
        <f t="shared" si="209"/>
        <v>17716.626469999999</v>
      </c>
      <c r="I875" s="158">
        <f t="shared" si="209"/>
        <v>43883.034</v>
      </c>
      <c r="J875" s="158">
        <f t="shared" si="206"/>
        <v>96.482204771124103</v>
      </c>
    </row>
    <row r="876" spans="1:10" ht="15.75">
      <c r="A876" s="133" t="s">
        <v>656</v>
      </c>
      <c r="B876" s="132" t="s">
        <v>371</v>
      </c>
      <c r="C876" s="132" t="s">
        <v>86</v>
      </c>
      <c r="D876" s="132" t="s">
        <v>69</v>
      </c>
      <c r="E876" s="132" t="s">
        <v>654</v>
      </c>
      <c r="F876" s="151"/>
      <c r="G876" s="158">
        <f t="shared" si="209"/>
        <v>45483.034</v>
      </c>
      <c r="H876" s="158">
        <f t="shared" si="209"/>
        <v>17716.626469999999</v>
      </c>
      <c r="I876" s="158">
        <f t="shared" si="209"/>
        <v>43883.034</v>
      </c>
      <c r="J876" s="158">
        <f t="shared" si="206"/>
        <v>96.482204771124103</v>
      </c>
    </row>
    <row r="877" spans="1:10">
      <c r="A877" s="150" t="s">
        <v>283</v>
      </c>
      <c r="B877" s="148" t="s">
        <v>371</v>
      </c>
      <c r="C877" s="148" t="s">
        <v>86</v>
      </c>
      <c r="D877" s="148" t="s">
        <v>69</v>
      </c>
      <c r="E877" s="149" t="s">
        <v>654</v>
      </c>
      <c r="F877" s="148"/>
      <c r="G877" s="178">
        <f t="shared" si="209"/>
        <v>45483.034</v>
      </c>
      <c r="H877" s="178">
        <f t="shared" si="209"/>
        <v>17716.626469999999</v>
      </c>
      <c r="I877" s="178">
        <f t="shared" si="209"/>
        <v>43883.034</v>
      </c>
      <c r="J877" s="178">
        <f t="shared" si="206"/>
        <v>96.482204771124103</v>
      </c>
    </row>
    <row r="878" spans="1:10">
      <c r="A878" s="131" t="s">
        <v>273</v>
      </c>
      <c r="B878" s="22" t="s">
        <v>371</v>
      </c>
      <c r="C878" s="22" t="s">
        <v>86</v>
      </c>
      <c r="D878" s="22" t="s">
        <v>69</v>
      </c>
      <c r="E878" s="22" t="s">
        <v>654</v>
      </c>
      <c r="F878" s="22" t="s">
        <v>274</v>
      </c>
      <c r="G878" s="156">
        <f t="shared" si="209"/>
        <v>45483.034</v>
      </c>
      <c r="H878" s="156">
        <f t="shared" si="209"/>
        <v>17716.626469999999</v>
      </c>
      <c r="I878" s="156">
        <f t="shared" si="209"/>
        <v>43883.034</v>
      </c>
      <c r="J878" s="156">
        <f t="shared" si="206"/>
        <v>96.482204771124103</v>
      </c>
    </row>
    <row r="879" spans="1:10">
      <c r="A879" s="131" t="s">
        <v>275</v>
      </c>
      <c r="B879" s="22" t="s">
        <v>371</v>
      </c>
      <c r="C879" s="22" t="s">
        <v>86</v>
      </c>
      <c r="D879" s="22" t="s">
        <v>69</v>
      </c>
      <c r="E879" s="22" t="s">
        <v>654</v>
      </c>
      <c r="F879" s="22" t="s">
        <v>367</v>
      </c>
      <c r="G879" s="156">
        <f>110973.7-17000-7000-1800-4800-3000-900-1500-4500-2717.575-500-6000-11773.091-4000</f>
        <v>45483.034</v>
      </c>
      <c r="H879" s="156">
        <v>17716.626469999999</v>
      </c>
      <c r="I879" s="156">
        <f>110973.7-17000-7000-1800-4800-3000-900-1500-4500-2717.575-500-6000-11773.091-4000-1600</f>
        <v>43883.034</v>
      </c>
      <c r="J879" s="156">
        <f t="shared" si="206"/>
        <v>96.482204771124103</v>
      </c>
    </row>
    <row r="880" spans="1:10" ht="31.5">
      <c r="A880" s="213" t="s">
        <v>64</v>
      </c>
      <c r="B880" s="214" t="s">
        <v>372</v>
      </c>
      <c r="C880" s="214"/>
      <c r="D880" s="214"/>
      <c r="E880" s="214"/>
      <c r="F880" s="214"/>
      <c r="G880" s="215">
        <f>G881+G905</f>
        <v>17590.758000000002</v>
      </c>
      <c r="H880" s="215">
        <f>H881+H905</f>
        <v>13088.488080000001</v>
      </c>
      <c r="I880" s="215">
        <f>I881+I905</f>
        <v>17590.758000000002</v>
      </c>
      <c r="J880" s="215">
        <f t="shared" si="206"/>
        <v>100</v>
      </c>
    </row>
    <row r="881" spans="1:10">
      <c r="A881" s="133" t="s">
        <v>103</v>
      </c>
      <c r="B881" s="132" t="s">
        <v>372</v>
      </c>
      <c r="C881" s="132" t="s">
        <v>69</v>
      </c>
      <c r="D881" s="132" t="s">
        <v>70</v>
      </c>
      <c r="E881" s="132"/>
      <c r="F881" s="132"/>
      <c r="G881" s="158">
        <f>G882+G896</f>
        <v>16590.758000000002</v>
      </c>
      <c r="H881" s="158">
        <f>H882+H896</f>
        <v>12998.488080000001</v>
      </c>
      <c r="I881" s="158">
        <f>I882+I896</f>
        <v>16590.758000000002</v>
      </c>
      <c r="J881" s="158">
        <f t="shared" si="206"/>
        <v>100</v>
      </c>
    </row>
    <row r="882" spans="1:10" ht="24">
      <c r="A882" s="133" t="s">
        <v>280</v>
      </c>
      <c r="B882" s="132" t="s">
        <v>372</v>
      </c>
      <c r="C882" s="132" t="s">
        <v>69</v>
      </c>
      <c r="D882" s="132" t="s">
        <v>71</v>
      </c>
      <c r="E882" s="132"/>
      <c r="F882" s="132"/>
      <c r="G882" s="158">
        <f t="shared" ref="G882:I883" si="210">G883</f>
        <v>15590.758</v>
      </c>
      <c r="H882" s="158">
        <f t="shared" si="210"/>
        <v>12448.968080000001</v>
      </c>
      <c r="I882" s="158">
        <f t="shared" si="210"/>
        <v>15590.758</v>
      </c>
      <c r="J882" s="158">
        <f t="shared" si="206"/>
        <v>100</v>
      </c>
    </row>
    <row r="883" spans="1:10">
      <c r="A883" s="173" t="s">
        <v>67</v>
      </c>
      <c r="B883" s="140" t="s">
        <v>372</v>
      </c>
      <c r="C883" s="140" t="s">
        <v>69</v>
      </c>
      <c r="D883" s="140" t="s">
        <v>71</v>
      </c>
      <c r="E883" s="140" t="s">
        <v>187</v>
      </c>
      <c r="F883" s="140"/>
      <c r="G883" s="175">
        <f t="shared" si="210"/>
        <v>15590.758</v>
      </c>
      <c r="H883" s="175">
        <f t="shared" si="210"/>
        <v>12448.968080000001</v>
      </c>
      <c r="I883" s="175">
        <f t="shared" si="210"/>
        <v>15590.758</v>
      </c>
      <c r="J883" s="175">
        <f t="shared" si="206"/>
        <v>100</v>
      </c>
    </row>
    <row r="884" spans="1:10">
      <c r="A884" s="212" t="s">
        <v>272</v>
      </c>
      <c r="B884" s="132" t="s">
        <v>372</v>
      </c>
      <c r="C884" s="132" t="s">
        <v>69</v>
      </c>
      <c r="D884" s="132" t="s">
        <v>71</v>
      </c>
      <c r="E884" s="132" t="s">
        <v>188</v>
      </c>
      <c r="F884" s="132"/>
      <c r="G884" s="158">
        <f>G885+G888+G893</f>
        <v>15590.758</v>
      </c>
      <c r="H884" s="158">
        <f>H885+H888+H893</f>
        <v>12448.968080000001</v>
      </c>
      <c r="I884" s="158">
        <f>I885+I888+I893</f>
        <v>15590.758</v>
      </c>
      <c r="J884" s="158">
        <f t="shared" si="206"/>
        <v>100</v>
      </c>
    </row>
    <row r="885" spans="1:10">
      <c r="A885" s="212" t="s">
        <v>271</v>
      </c>
      <c r="B885" s="132" t="s">
        <v>372</v>
      </c>
      <c r="C885" s="132" t="s">
        <v>69</v>
      </c>
      <c r="D885" s="132" t="s">
        <v>71</v>
      </c>
      <c r="E885" s="132" t="s">
        <v>189</v>
      </c>
      <c r="F885" s="132"/>
      <c r="G885" s="158">
        <f t="shared" ref="G885:I886" si="211">G886</f>
        <v>14182</v>
      </c>
      <c r="H885" s="158">
        <f t="shared" si="211"/>
        <v>11329.87125</v>
      </c>
      <c r="I885" s="158">
        <f t="shared" si="211"/>
        <v>14182</v>
      </c>
      <c r="J885" s="158">
        <f t="shared" si="206"/>
        <v>100</v>
      </c>
    </row>
    <row r="886" spans="1:10" ht="36">
      <c r="A886" s="131" t="s">
        <v>72</v>
      </c>
      <c r="B886" s="22" t="s">
        <v>372</v>
      </c>
      <c r="C886" s="22" t="s">
        <v>69</v>
      </c>
      <c r="D886" s="22" t="s">
        <v>71</v>
      </c>
      <c r="E886" s="22" t="s">
        <v>189</v>
      </c>
      <c r="F886" s="22" t="s">
        <v>73</v>
      </c>
      <c r="G886" s="156">
        <f t="shared" si="211"/>
        <v>14182</v>
      </c>
      <c r="H886" s="156">
        <f t="shared" si="211"/>
        <v>11329.87125</v>
      </c>
      <c r="I886" s="156">
        <f t="shared" si="211"/>
        <v>14182</v>
      </c>
      <c r="J886" s="156">
        <f t="shared" si="206"/>
        <v>100</v>
      </c>
    </row>
    <row r="887" spans="1:10">
      <c r="A887" s="131" t="s">
        <v>74</v>
      </c>
      <c r="B887" s="22" t="s">
        <v>372</v>
      </c>
      <c r="C887" s="22" t="s">
        <v>69</v>
      </c>
      <c r="D887" s="22" t="s">
        <v>71</v>
      </c>
      <c r="E887" s="22" t="s">
        <v>189</v>
      </c>
      <c r="F887" s="22" t="s">
        <v>75</v>
      </c>
      <c r="G887" s="156">
        <f>10000+10+3020+1152</f>
        <v>14182</v>
      </c>
      <c r="H887" s="156">
        <v>11329.87125</v>
      </c>
      <c r="I887" s="156">
        <f>10000+10+3020+1152</f>
        <v>14182</v>
      </c>
      <c r="J887" s="156">
        <f t="shared" si="206"/>
        <v>100</v>
      </c>
    </row>
    <row r="888" spans="1:10">
      <c r="A888" s="133" t="s">
        <v>76</v>
      </c>
      <c r="B888" s="132" t="s">
        <v>372</v>
      </c>
      <c r="C888" s="132" t="s">
        <v>69</v>
      </c>
      <c r="D888" s="132" t="s">
        <v>71</v>
      </c>
      <c r="E888" s="132" t="s">
        <v>190</v>
      </c>
      <c r="F888" s="132"/>
      <c r="G888" s="158">
        <f>G889+G891</f>
        <v>940</v>
      </c>
      <c r="H888" s="158">
        <f>H889+H891</f>
        <v>650.33883000000003</v>
      </c>
      <c r="I888" s="158">
        <f>I889+I891</f>
        <v>940</v>
      </c>
      <c r="J888" s="158">
        <f t="shared" si="206"/>
        <v>100</v>
      </c>
    </row>
    <row r="889" spans="1:10" s="219" customFormat="1">
      <c r="A889" s="131" t="s">
        <v>486</v>
      </c>
      <c r="B889" s="22" t="s">
        <v>372</v>
      </c>
      <c r="C889" s="22" t="s">
        <v>69</v>
      </c>
      <c r="D889" s="22" t="s">
        <v>71</v>
      </c>
      <c r="E889" s="22" t="s">
        <v>190</v>
      </c>
      <c r="F889" s="22" t="s">
        <v>77</v>
      </c>
      <c r="G889" s="156">
        <f>G890</f>
        <v>935</v>
      </c>
      <c r="H889" s="156">
        <f>H890</f>
        <v>650.33883000000003</v>
      </c>
      <c r="I889" s="156">
        <f>I890</f>
        <v>935</v>
      </c>
      <c r="J889" s="156">
        <f t="shared" si="206"/>
        <v>100</v>
      </c>
    </row>
    <row r="890" spans="1:10">
      <c r="A890" s="131" t="s">
        <v>78</v>
      </c>
      <c r="B890" s="22" t="s">
        <v>372</v>
      </c>
      <c r="C890" s="22" t="s">
        <v>69</v>
      </c>
      <c r="D890" s="22" t="s">
        <v>71</v>
      </c>
      <c r="E890" s="22" t="s">
        <v>190</v>
      </c>
      <c r="F890" s="22" t="s">
        <v>79</v>
      </c>
      <c r="G890" s="156">
        <f>885+50</f>
        <v>935</v>
      </c>
      <c r="H890" s="156">
        <v>650.33883000000003</v>
      </c>
      <c r="I890" s="156">
        <f>885+50</f>
        <v>935</v>
      </c>
      <c r="J890" s="156">
        <f t="shared" si="206"/>
        <v>100</v>
      </c>
    </row>
    <row r="891" spans="1:10">
      <c r="A891" s="131" t="s">
        <v>80</v>
      </c>
      <c r="B891" s="22" t="s">
        <v>372</v>
      </c>
      <c r="C891" s="22" t="s">
        <v>69</v>
      </c>
      <c r="D891" s="22" t="s">
        <v>71</v>
      </c>
      <c r="E891" s="22" t="s">
        <v>190</v>
      </c>
      <c r="F891" s="22" t="s">
        <v>81</v>
      </c>
      <c r="G891" s="156">
        <f>G892</f>
        <v>5</v>
      </c>
      <c r="H891" s="323">
        <f>H892</f>
        <v>0</v>
      </c>
      <c r="I891" s="156">
        <f>I892</f>
        <v>5</v>
      </c>
      <c r="J891" s="156">
        <f t="shared" si="206"/>
        <v>100</v>
      </c>
    </row>
    <row r="892" spans="1:10">
      <c r="A892" s="131" t="s">
        <v>445</v>
      </c>
      <c r="B892" s="22" t="s">
        <v>372</v>
      </c>
      <c r="C892" s="22" t="s">
        <v>69</v>
      </c>
      <c r="D892" s="22" t="s">
        <v>71</v>
      </c>
      <c r="E892" s="22" t="s">
        <v>190</v>
      </c>
      <c r="F892" s="22" t="s">
        <v>82</v>
      </c>
      <c r="G892" s="156">
        <v>5</v>
      </c>
      <c r="H892" s="323">
        <v>0</v>
      </c>
      <c r="I892" s="156">
        <v>5</v>
      </c>
      <c r="J892" s="156">
        <f t="shared" si="206"/>
        <v>100</v>
      </c>
    </row>
    <row r="893" spans="1:10">
      <c r="A893" s="133" t="s">
        <v>774</v>
      </c>
      <c r="B893" s="132" t="s">
        <v>372</v>
      </c>
      <c r="C893" s="132" t="s">
        <v>69</v>
      </c>
      <c r="D893" s="132" t="s">
        <v>71</v>
      </c>
      <c r="E893" s="132" t="s">
        <v>769</v>
      </c>
      <c r="F893" s="132"/>
      <c r="G893" s="158">
        <f t="shared" ref="G893:I894" si="212">G894</f>
        <v>468.75799999999998</v>
      </c>
      <c r="H893" s="158">
        <f t="shared" si="212"/>
        <v>468.75799999999998</v>
      </c>
      <c r="I893" s="158">
        <f t="shared" si="212"/>
        <v>468.75799999999998</v>
      </c>
      <c r="J893" s="158">
        <f t="shared" si="206"/>
        <v>100</v>
      </c>
    </row>
    <row r="894" spans="1:10" ht="36">
      <c r="A894" s="131" t="s">
        <v>72</v>
      </c>
      <c r="B894" s="22" t="s">
        <v>372</v>
      </c>
      <c r="C894" s="22" t="s">
        <v>69</v>
      </c>
      <c r="D894" s="22" t="s">
        <v>71</v>
      </c>
      <c r="E894" s="22" t="s">
        <v>769</v>
      </c>
      <c r="F894" s="22" t="s">
        <v>73</v>
      </c>
      <c r="G894" s="156">
        <f t="shared" si="212"/>
        <v>468.75799999999998</v>
      </c>
      <c r="H894" s="156">
        <f t="shared" si="212"/>
        <v>468.75799999999998</v>
      </c>
      <c r="I894" s="156">
        <f t="shared" si="212"/>
        <v>468.75799999999998</v>
      </c>
      <c r="J894" s="156">
        <f t="shared" si="206"/>
        <v>100</v>
      </c>
    </row>
    <row r="895" spans="1:10">
      <c r="A895" s="131" t="s">
        <v>74</v>
      </c>
      <c r="B895" s="22" t="s">
        <v>372</v>
      </c>
      <c r="C895" s="22" t="s">
        <v>69</v>
      </c>
      <c r="D895" s="22" t="s">
        <v>71</v>
      </c>
      <c r="E895" s="22" t="s">
        <v>769</v>
      </c>
      <c r="F895" s="22" t="s">
        <v>75</v>
      </c>
      <c r="G895" s="156">
        <v>468.75799999999998</v>
      </c>
      <c r="H895" s="156">
        <v>468.75799999999998</v>
      </c>
      <c r="I895" s="156">
        <v>468.75799999999998</v>
      </c>
      <c r="J895" s="156">
        <f t="shared" si="206"/>
        <v>100</v>
      </c>
    </row>
    <row r="896" spans="1:10">
      <c r="A896" s="133" t="s">
        <v>285</v>
      </c>
      <c r="B896" s="132" t="s">
        <v>372</v>
      </c>
      <c r="C896" s="132" t="s">
        <v>69</v>
      </c>
      <c r="D896" s="132" t="s">
        <v>86</v>
      </c>
      <c r="E896" s="22"/>
      <c r="F896" s="132"/>
      <c r="G896" s="158">
        <f t="shared" ref="G896:I903" si="213">G897</f>
        <v>1000</v>
      </c>
      <c r="H896" s="158">
        <f t="shared" si="213"/>
        <v>549.52</v>
      </c>
      <c r="I896" s="158">
        <f t="shared" si="213"/>
        <v>1000</v>
      </c>
      <c r="J896" s="158">
        <f t="shared" si="206"/>
        <v>100</v>
      </c>
    </row>
    <row r="897" spans="1:10">
      <c r="A897" s="173" t="s">
        <v>67</v>
      </c>
      <c r="B897" s="140" t="s">
        <v>372</v>
      </c>
      <c r="C897" s="140" t="s">
        <v>69</v>
      </c>
      <c r="D897" s="140" t="s">
        <v>86</v>
      </c>
      <c r="E897" s="140" t="s">
        <v>187</v>
      </c>
      <c r="F897" s="140"/>
      <c r="G897" s="175">
        <f t="shared" si="213"/>
        <v>1000</v>
      </c>
      <c r="H897" s="175">
        <f t="shared" si="213"/>
        <v>549.52</v>
      </c>
      <c r="I897" s="175">
        <f t="shared" si="213"/>
        <v>1000</v>
      </c>
      <c r="J897" s="175">
        <f t="shared" si="206"/>
        <v>100</v>
      </c>
    </row>
    <row r="898" spans="1:10">
      <c r="A898" s="133" t="s">
        <v>272</v>
      </c>
      <c r="B898" s="132" t="s">
        <v>372</v>
      </c>
      <c r="C898" s="132" t="s">
        <v>69</v>
      </c>
      <c r="D898" s="132" t="s">
        <v>86</v>
      </c>
      <c r="E898" s="132" t="s">
        <v>188</v>
      </c>
      <c r="F898" s="29"/>
      <c r="G898" s="158">
        <f>G902+G899</f>
        <v>1000</v>
      </c>
      <c r="H898" s="158">
        <f>H902+H899</f>
        <v>549.52</v>
      </c>
      <c r="I898" s="158">
        <f>I902+I899</f>
        <v>1000</v>
      </c>
      <c r="J898" s="158">
        <f t="shared" si="206"/>
        <v>100</v>
      </c>
    </row>
    <row r="899" spans="1:10">
      <c r="A899" s="224" t="s">
        <v>286</v>
      </c>
      <c r="B899" s="140" t="s">
        <v>372</v>
      </c>
      <c r="C899" s="140" t="s">
        <v>69</v>
      </c>
      <c r="D899" s="140" t="s">
        <v>86</v>
      </c>
      <c r="E899" s="231" t="s">
        <v>525</v>
      </c>
      <c r="F899" s="140"/>
      <c r="G899" s="175">
        <f t="shared" ref="G899:I900" si="214">G900</f>
        <v>152.1</v>
      </c>
      <c r="H899" s="175">
        <f t="shared" si="214"/>
        <v>152.1</v>
      </c>
      <c r="I899" s="175">
        <f t="shared" si="214"/>
        <v>152.1</v>
      </c>
      <c r="J899" s="175">
        <f t="shared" si="206"/>
        <v>100</v>
      </c>
    </row>
    <row r="900" spans="1:10">
      <c r="A900" s="131" t="s">
        <v>80</v>
      </c>
      <c r="B900" s="22" t="s">
        <v>372</v>
      </c>
      <c r="C900" s="22" t="s">
        <v>69</v>
      </c>
      <c r="D900" s="22" t="s">
        <v>86</v>
      </c>
      <c r="E900" s="211" t="s">
        <v>525</v>
      </c>
      <c r="F900" s="22" t="s">
        <v>81</v>
      </c>
      <c r="G900" s="156">
        <f t="shared" si="214"/>
        <v>152.1</v>
      </c>
      <c r="H900" s="156">
        <f t="shared" si="214"/>
        <v>152.1</v>
      </c>
      <c r="I900" s="156">
        <f t="shared" si="214"/>
        <v>152.1</v>
      </c>
      <c r="J900" s="156">
        <f t="shared" si="206"/>
        <v>100</v>
      </c>
    </row>
    <row r="901" spans="1:10">
      <c r="A901" s="131" t="s">
        <v>133</v>
      </c>
      <c r="B901" s="22" t="s">
        <v>372</v>
      </c>
      <c r="C901" s="22" t="s">
        <v>69</v>
      </c>
      <c r="D901" s="22" t="s">
        <v>86</v>
      </c>
      <c r="E901" s="211" t="s">
        <v>525</v>
      </c>
      <c r="F901" s="22" t="s">
        <v>136</v>
      </c>
      <c r="G901" s="156">
        <v>152.1</v>
      </c>
      <c r="H901" s="156">
        <v>152.1</v>
      </c>
      <c r="I901" s="156">
        <v>152.1</v>
      </c>
      <c r="J901" s="156">
        <f t="shared" si="206"/>
        <v>100</v>
      </c>
    </row>
    <row r="902" spans="1:10" ht="24">
      <c r="A902" s="224" t="s">
        <v>276</v>
      </c>
      <c r="B902" s="140" t="s">
        <v>372</v>
      </c>
      <c r="C902" s="140" t="s">
        <v>69</v>
      </c>
      <c r="D902" s="140" t="s">
        <v>86</v>
      </c>
      <c r="E902" s="140" t="s">
        <v>657</v>
      </c>
      <c r="F902" s="146"/>
      <c r="G902" s="175">
        <f t="shared" si="213"/>
        <v>847.9</v>
      </c>
      <c r="H902" s="175">
        <f t="shared" si="213"/>
        <v>397.42</v>
      </c>
      <c r="I902" s="175">
        <f t="shared" si="213"/>
        <v>847.9</v>
      </c>
      <c r="J902" s="175">
        <f t="shared" si="206"/>
        <v>100</v>
      </c>
    </row>
    <row r="903" spans="1:10">
      <c r="A903" s="131" t="s">
        <v>486</v>
      </c>
      <c r="B903" s="22" t="s">
        <v>372</v>
      </c>
      <c r="C903" s="22" t="s">
        <v>69</v>
      </c>
      <c r="D903" s="22" t="s">
        <v>86</v>
      </c>
      <c r="E903" s="22" t="s">
        <v>657</v>
      </c>
      <c r="F903" s="145">
        <v>200</v>
      </c>
      <c r="G903" s="156">
        <f t="shared" si="213"/>
        <v>847.9</v>
      </c>
      <c r="H903" s="156">
        <f t="shared" si="213"/>
        <v>397.42</v>
      </c>
      <c r="I903" s="156">
        <f t="shared" si="213"/>
        <v>847.9</v>
      </c>
      <c r="J903" s="156">
        <f t="shared" si="206"/>
        <v>100</v>
      </c>
    </row>
    <row r="904" spans="1:10">
      <c r="A904" s="131" t="s">
        <v>78</v>
      </c>
      <c r="B904" s="145">
        <v>611</v>
      </c>
      <c r="C904" s="22" t="s">
        <v>69</v>
      </c>
      <c r="D904" s="22" t="s">
        <v>86</v>
      </c>
      <c r="E904" s="22" t="s">
        <v>657</v>
      </c>
      <c r="F904" s="22" t="s">
        <v>79</v>
      </c>
      <c r="G904" s="156">
        <f>1000-152.1</f>
        <v>847.9</v>
      </c>
      <c r="H904" s="156">
        <v>397.42</v>
      </c>
      <c r="I904" s="156">
        <f>1000-152.1</f>
        <v>847.9</v>
      </c>
      <c r="J904" s="156">
        <f t="shared" si="206"/>
        <v>100</v>
      </c>
    </row>
    <row r="905" spans="1:10">
      <c r="A905" s="133" t="s">
        <v>321</v>
      </c>
      <c r="B905" s="132" t="s">
        <v>372</v>
      </c>
      <c r="C905" s="132" t="s">
        <v>71</v>
      </c>
      <c r="D905" s="132" t="s">
        <v>70</v>
      </c>
      <c r="E905" s="132"/>
      <c r="F905" s="132"/>
      <c r="G905" s="158">
        <f t="shared" ref="G905:I910" si="215">G906</f>
        <v>1000</v>
      </c>
      <c r="H905" s="158">
        <f t="shared" si="215"/>
        <v>90</v>
      </c>
      <c r="I905" s="158">
        <f t="shared" si="215"/>
        <v>1000</v>
      </c>
      <c r="J905" s="158">
        <f t="shared" si="206"/>
        <v>100</v>
      </c>
    </row>
    <row r="906" spans="1:10">
      <c r="A906" s="133" t="s">
        <v>359</v>
      </c>
      <c r="B906" s="132" t="s">
        <v>372</v>
      </c>
      <c r="C906" s="132" t="s">
        <v>71</v>
      </c>
      <c r="D906" s="132" t="s">
        <v>429</v>
      </c>
      <c r="E906" s="140"/>
      <c r="F906" s="140"/>
      <c r="G906" s="158">
        <f t="shared" si="215"/>
        <v>1000</v>
      </c>
      <c r="H906" s="158">
        <f t="shared" si="215"/>
        <v>90</v>
      </c>
      <c r="I906" s="158">
        <f t="shared" si="215"/>
        <v>1000</v>
      </c>
      <c r="J906" s="158">
        <f t="shared" si="206"/>
        <v>100</v>
      </c>
    </row>
    <row r="907" spans="1:10">
      <c r="A907" s="173" t="s">
        <v>67</v>
      </c>
      <c r="B907" s="140" t="s">
        <v>372</v>
      </c>
      <c r="C907" s="140" t="s">
        <v>71</v>
      </c>
      <c r="D907" s="140" t="s">
        <v>429</v>
      </c>
      <c r="E907" s="140" t="s">
        <v>187</v>
      </c>
      <c r="F907" s="140"/>
      <c r="G907" s="175">
        <f t="shared" si="215"/>
        <v>1000</v>
      </c>
      <c r="H907" s="175">
        <f t="shared" si="215"/>
        <v>90</v>
      </c>
      <c r="I907" s="175">
        <f t="shared" si="215"/>
        <v>1000</v>
      </c>
      <c r="J907" s="175">
        <f t="shared" si="206"/>
        <v>100</v>
      </c>
    </row>
    <row r="908" spans="1:10">
      <c r="A908" s="133" t="s">
        <v>272</v>
      </c>
      <c r="B908" s="230">
        <v>611</v>
      </c>
      <c r="C908" s="132" t="s">
        <v>71</v>
      </c>
      <c r="D908" s="132" t="s">
        <v>429</v>
      </c>
      <c r="E908" s="132" t="s">
        <v>188</v>
      </c>
      <c r="F908" s="132"/>
      <c r="G908" s="158">
        <f t="shared" si="215"/>
        <v>1000</v>
      </c>
      <c r="H908" s="158">
        <f t="shared" si="215"/>
        <v>90</v>
      </c>
      <c r="I908" s="158">
        <f t="shared" si="215"/>
        <v>1000</v>
      </c>
      <c r="J908" s="158">
        <f t="shared" si="206"/>
        <v>100</v>
      </c>
    </row>
    <row r="909" spans="1:10">
      <c r="A909" s="150" t="s">
        <v>311</v>
      </c>
      <c r="B909" s="248">
        <v>611</v>
      </c>
      <c r="C909" s="148" t="s">
        <v>71</v>
      </c>
      <c r="D909" s="148" t="s">
        <v>429</v>
      </c>
      <c r="E909" s="148" t="s">
        <v>658</v>
      </c>
      <c r="F909" s="148"/>
      <c r="G909" s="178">
        <f t="shared" si="215"/>
        <v>1000</v>
      </c>
      <c r="H909" s="178">
        <f t="shared" si="215"/>
        <v>90</v>
      </c>
      <c r="I909" s="178">
        <f t="shared" si="215"/>
        <v>1000</v>
      </c>
      <c r="J909" s="178">
        <f t="shared" si="206"/>
        <v>100</v>
      </c>
    </row>
    <row r="910" spans="1:10">
      <c r="A910" s="131" t="s">
        <v>486</v>
      </c>
      <c r="B910" s="22" t="s">
        <v>372</v>
      </c>
      <c r="C910" s="22" t="s">
        <v>71</v>
      </c>
      <c r="D910" s="22" t="s">
        <v>429</v>
      </c>
      <c r="E910" s="22" t="s">
        <v>658</v>
      </c>
      <c r="F910" s="145">
        <v>200</v>
      </c>
      <c r="G910" s="156">
        <f t="shared" si="215"/>
        <v>1000</v>
      </c>
      <c r="H910" s="156">
        <f t="shared" si="215"/>
        <v>90</v>
      </c>
      <c r="I910" s="156">
        <f t="shared" si="215"/>
        <v>1000</v>
      </c>
      <c r="J910" s="156">
        <f t="shared" si="206"/>
        <v>100</v>
      </c>
    </row>
    <row r="911" spans="1:10">
      <c r="A911" s="131" t="s">
        <v>78</v>
      </c>
      <c r="B911" s="145">
        <v>611</v>
      </c>
      <c r="C911" s="22" t="s">
        <v>71</v>
      </c>
      <c r="D911" s="22" t="s">
        <v>429</v>
      </c>
      <c r="E911" s="22" t="s">
        <v>658</v>
      </c>
      <c r="F911" s="22" t="s">
        <v>79</v>
      </c>
      <c r="G911" s="156">
        <v>1000</v>
      </c>
      <c r="H911" s="156">
        <v>90</v>
      </c>
      <c r="I911" s="156">
        <v>1000</v>
      </c>
      <c r="J911" s="156">
        <f t="shared" si="206"/>
        <v>100</v>
      </c>
    </row>
    <row r="912" spans="1:10" ht="15.75">
      <c r="A912" s="213" t="s">
        <v>269</v>
      </c>
      <c r="B912" s="214" t="s">
        <v>119</v>
      </c>
      <c r="C912" s="214"/>
      <c r="D912" s="214"/>
      <c r="E912" s="214"/>
      <c r="F912" s="214"/>
      <c r="G912" s="215">
        <f>G920+G1024+G913</f>
        <v>3082530.8401999995</v>
      </c>
      <c r="H912" s="215">
        <f>H920+H1024+H913</f>
        <v>2509254.0477399998</v>
      </c>
      <c r="I912" s="215">
        <f>I920+I1024+I913</f>
        <v>3082530.8401999995</v>
      </c>
      <c r="J912" s="215">
        <f t="shared" si="206"/>
        <v>100</v>
      </c>
    </row>
    <row r="913" spans="1:10" ht="15.75">
      <c r="A913" s="133" t="s">
        <v>321</v>
      </c>
      <c r="B913" s="132" t="s">
        <v>119</v>
      </c>
      <c r="C913" s="132" t="s">
        <v>71</v>
      </c>
      <c r="D913" s="132" t="s">
        <v>70</v>
      </c>
      <c r="E913" s="214"/>
      <c r="F913" s="214"/>
      <c r="G913" s="158">
        <f t="shared" ref="G913:I918" si="216">G914</f>
        <v>86.262700000000009</v>
      </c>
      <c r="H913" s="158">
        <f t="shared" si="216"/>
        <v>86.262699999999995</v>
      </c>
      <c r="I913" s="158">
        <f t="shared" si="216"/>
        <v>86.262700000000009</v>
      </c>
      <c r="J913" s="158">
        <f t="shared" si="206"/>
        <v>100</v>
      </c>
    </row>
    <row r="914" spans="1:10">
      <c r="A914" s="133" t="s">
        <v>746</v>
      </c>
      <c r="B914" s="132" t="s">
        <v>119</v>
      </c>
      <c r="C914" s="132" t="s">
        <v>71</v>
      </c>
      <c r="D914" s="132" t="s">
        <v>69</v>
      </c>
      <c r="E914" s="132"/>
      <c r="F914" s="132"/>
      <c r="G914" s="158">
        <f t="shared" si="216"/>
        <v>86.262700000000009</v>
      </c>
      <c r="H914" s="158">
        <f t="shared" si="216"/>
        <v>86.262699999999995</v>
      </c>
      <c r="I914" s="158">
        <f t="shared" si="216"/>
        <v>86.262700000000009</v>
      </c>
      <c r="J914" s="158">
        <f t="shared" si="206"/>
        <v>100</v>
      </c>
    </row>
    <row r="915" spans="1:10" ht="15.75">
      <c r="A915" s="224" t="s">
        <v>396</v>
      </c>
      <c r="B915" s="140" t="s">
        <v>119</v>
      </c>
      <c r="C915" s="140" t="s">
        <v>71</v>
      </c>
      <c r="D915" s="140" t="s">
        <v>69</v>
      </c>
      <c r="E915" s="140" t="s">
        <v>187</v>
      </c>
      <c r="F915" s="214"/>
      <c r="G915" s="175">
        <f t="shared" si="216"/>
        <v>86.262700000000009</v>
      </c>
      <c r="H915" s="175">
        <f t="shared" si="216"/>
        <v>86.262699999999995</v>
      </c>
      <c r="I915" s="175">
        <f t="shared" si="216"/>
        <v>86.262700000000009</v>
      </c>
      <c r="J915" s="175">
        <f t="shared" si="206"/>
        <v>100</v>
      </c>
    </row>
    <row r="916" spans="1:10" ht="15.75">
      <c r="A916" s="133" t="s">
        <v>272</v>
      </c>
      <c r="B916" s="132" t="s">
        <v>119</v>
      </c>
      <c r="C916" s="132" t="s">
        <v>71</v>
      </c>
      <c r="D916" s="132" t="s">
        <v>69</v>
      </c>
      <c r="E916" s="132" t="s">
        <v>188</v>
      </c>
      <c r="F916" s="214"/>
      <c r="G916" s="158">
        <f t="shared" si="216"/>
        <v>86.262700000000009</v>
      </c>
      <c r="H916" s="158">
        <f t="shared" si="216"/>
        <v>86.262699999999995</v>
      </c>
      <c r="I916" s="158">
        <f t="shared" si="216"/>
        <v>86.262700000000009</v>
      </c>
      <c r="J916" s="158">
        <f t="shared" si="206"/>
        <v>100</v>
      </c>
    </row>
    <row r="917" spans="1:10">
      <c r="A917" s="133" t="s">
        <v>747</v>
      </c>
      <c r="B917" s="132" t="s">
        <v>119</v>
      </c>
      <c r="C917" s="132" t="s">
        <v>71</v>
      </c>
      <c r="D917" s="132" t="s">
        <v>69</v>
      </c>
      <c r="E917" s="132" t="s">
        <v>748</v>
      </c>
      <c r="F917" s="132"/>
      <c r="G917" s="156">
        <f t="shared" si="216"/>
        <v>86.262700000000009</v>
      </c>
      <c r="H917" s="156">
        <f t="shared" si="216"/>
        <v>86.262699999999995</v>
      </c>
      <c r="I917" s="156">
        <f t="shared" si="216"/>
        <v>86.262700000000009</v>
      </c>
      <c r="J917" s="156">
        <f t="shared" si="206"/>
        <v>100</v>
      </c>
    </row>
    <row r="918" spans="1:10">
      <c r="A918" s="131" t="s">
        <v>94</v>
      </c>
      <c r="B918" s="22" t="s">
        <v>119</v>
      </c>
      <c r="C918" s="22" t="s">
        <v>71</v>
      </c>
      <c r="D918" s="22" t="s">
        <v>69</v>
      </c>
      <c r="E918" s="22" t="s">
        <v>748</v>
      </c>
      <c r="F918" s="22" t="s">
        <v>362</v>
      </c>
      <c r="G918" s="156">
        <f t="shared" si="216"/>
        <v>86.262700000000009</v>
      </c>
      <c r="H918" s="156">
        <f t="shared" si="216"/>
        <v>86.262699999999995</v>
      </c>
      <c r="I918" s="156">
        <f t="shared" si="216"/>
        <v>86.262700000000009</v>
      </c>
      <c r="J918" s="156">
        <f t="shared" si="206"/>
        <v>100</v>
      </c>
    </row>
    <row r="919" spans="1:10">
      <c r="A919" s="131" t="s">
        <v>95</v>
      </c>
      <c r="B919" s="22" t="s">
        <v>119</v>
      </c>
      <c r="C919" s="22" t="s">
        <v>71</v>
      </c>
      <c r="D919" s="22" t="s">
        <v>69</v>
      </c>
      <c r="E919" s="22" t="s">
        <v>748</v>
      </c>
      <c r="F919" s="22" t="s">
        <v>371</v>
      </c>
      <c r="G919" s="156">
        <f>107.49832-21.23562</f>
        <v>86.262700000000009</v>
      </c>
      <c r="H919" s="156">
        <v>86.262699999999995</v>
      </c>
      <c r="I919" s="156">
        <f>107.49832-21.23562</f>
        <v>86.262700000000009</v>
      </c>
      <c r="J919" s="156">
        <f t="shared" si="206"/>
        <v>100</v>
      </c>
    </row>
    <row r="920" spans="1:10">
      <c r="A920" s="133" t="s">
        <v>338</v>
      </c>
      <c r="B920" s="132" t="s">
        <v>119</v>
      </c>
      <c r="C920" s="132" t="s">
        <v>430</v>
      </c>
      <c r="D920" s="132" t="s">
        <v>70</v>
      </c>
      <c r="E920" s="132"/>
      <c r="F920" s="132"/>
      <c r="G920" s="158">
        <f>G921+G932+G960+G973+G967</f>
        <v>3050381.0854999996</v>
      </c>
      <c r="H920" s="158">
        <f>H921+H932+H960+H973+H967</f>
        <v>2484166.5739000002</v>
      </c>
      <c r="I920" s="158">
        <f>I921+I932+I960+I973+I967</f>
        <v>3050381.0854999996</v>
      </c>
      <c r="J920" s="158">
        <f t="shared" si="206"/>
        <v>100</v>
      </c>
    </row>
    <row r="921" spans="1:10">
      <c r="A921" s="133" t="s">
        <v>339</v>
      </c>
      <c r="B921" s="132" t="s">
        <v>119</v>
      </c>
      <c r="C921" s="132" t="s">
        <v>430</v>
      </c>
      <c r="D921" s="132" t="s">
        <v>69</v>
      </c>
      <c r="E921" s="132"/>
      <c r="F921" s="132"/>
      <c r="G921" s="158">
        <f t="shared" ref="G921:I922" si="217">G922</f>
        <v>1280019.702</v>
      </c>
      <c r="H921" s="158">
        <f t="shared" si="217"/>
        <v>1047611.372</v>
      </c>
      <c r="I921" s="158">
        <f t="shared" si="217"/>
        <v>1280019.702</v>
      </c>
      <c r="J921" s="158">
        <f t="shared" si="206"/>
        <v>100</v>
      </c>
    </row>
    <row r="922" spans="1:10" ht="13.5">
      <c r="A922" s="174" t="s">
        <v>673</v>
      </c>
      <c r="B922" s="144" t="s">
        <v>119</v>
      </c>
      <c r="C922" s="144" t="s">
        <v>430</v>
      </c>
      <c r="D922" s="144" t="s">
        <v>69</v>
      </c>
      <c r="E922" s="144" t="s">
        <v>139</v>
      </c>
      <c r="F922" s="144"/>
      <c r="G922" s="218">
        <f t="shared" si="217"/>
        <v>1280019.702</v>
      </c>
      <c r="H922" s="218">
        <f t="shared" si="217"/>
        <v>1047611.372</v>
      </c>
      <c r="I922" s="218">
        <f t="shared" si="217"/>
        <v>1280019.702</v>
      </c>
      <c r="J922" s="218">
        <f t="shared" si="206"/>
        <v>100</v>
      </c>
    </row>
    <row r="923" spans="1:10">
      <c r="A923" s="133" t="s">
        <v>244</v>
      </c>
      <c r="B923" s="132" t="s">
        <v>119</v>
      </c>
      <c r="C923" s="132" t="s">
        <v>430</v>
      </c>
      <c r="D923" s="132" t="s">
        <v>69</v>
      </c>
      <c r="E923" s="132" t="s">
        <v>140</v>
      </c>
      <c r="F923" s="132"/>
      <c r="G923" s="158">
        <f>G924+G928</f>
        <v>1280019.702</v>
      </c>
      <c r="H923" s="158">
        <f>H924+H928</f>
        <v>1047611.372</v>
      </c>
      <c r="I923" s="158">
        <f>I924+I928</f>
        <v>1280019.702</v>
      </c>
      <c r="J923" s="158">
        <f t="shared" si="206"/>
        <v>100</v>
      </c>
    </row>
    <row r="924" spans="1:10" ht="24">
      <c r="A924" s="224" t="s">
        <v>245</v>
      </c>
      <c r="B924" s="140" t="s">
        <v>119</v>
      </c>
      <c r="C924" s="140" t="s">
        <v>430</v>
      </c>
      <c r="D924" s="140" t="s">
        <v>69</v>
      </c>
      <c r="E924" s="140" t="s">
        <v>141</v>
      </c>
      <c r="F924" s="140"/>
      <c r="G924" s="175">
        <f>G925</f>
        <v>488009.70199999999</v>
      </c>
      <c r="H924" s="175">
        <f>H925</f>
        <v>387357.19096000004</v>
      </c>
      <c r="I924" s="175">
        <f>I925</f>
        <v>488009.70199999999</v>
      </c>
      <c r="J924" s="175">
        <f t="shared" si="206"/>
        <v>100</v>
      </c>
    </row>
    <row r="925" spans="1:10">
      <c r="A925" s="131" t="s">
        <v>94</v>
      </c>
      <c r="B925" s="22" t="s">
        <v>119</v>
      </c>
      <c r="C925" s="22" t="s">
        <v>430</v>
      </c>
      <c r="D925" s="22" t="s">
        <v>69</v>
      </c>
      <c r="E925" s="22" t="s">
        <v>659</v>
      </c>
      <c r="F925" s="22" t="s">
        <v>362</v>
      </c>
      <c r="G925" s="156">
        <f>G926+G927</f>
        <v>488009.70199999999</v>
      </c>
      <c r="H925" s="156">
        <f>H926+H927</f>
        <v>387357.19096000004</v>
      </c>
      <c r="I925" s="156">
        <f>I926+I927</f>
        <v>488009.70199999999</v>
      </c>
      <c r="J925" s="156">
        <f t="shared" si="206"/>
        <v>100</v>
      </c>
    </row>
    <row r="926" spans="1:10">
      <c r="A926" s="131" t="s">
        <v>95</v>
      </c>
      <c r="B926" s="211">
        <v>612</v>
      </c>
      <c r="C926" s="22" t="s">
        <v>430</v>
      </c>
      <c r="D926" s="22" t="s">
        <v>69</v>
      </c>
      <c r="E926" s="22" t="s">
        <v>659</v>
      </c>
      <c r="F926" s="22" t="s">
        <v>371</v>
      </c>
      <c r="G926" s="156">
        <f>438900-34000-2098.54288+25544-5955-4500+7322.553+340.602</f>
        <v>425553.61212000001</v>
      </c>
      <c r="H926" s="156">
        <v>343005.94884000003</v>
      </c>
      <c r="I926" s="156">
        <f>438900-34000-2098.54288+25544-5955-4500+7322.553+340.602</f>
        <v>425553.61212000001</v>
      </c>
      <c r="J926" s="156">
        <f t="shared" si="206"/>
        <v>100</v>
      </c>
    </row>
    <row r="927" spans="1:10">
      <c r="A927" s="131" t="s">
        <v>447</v>
      </c>
      <c r="B927" s="211">
        <v>612</v>
      </c>
      <c r="C927" s="22" t="s">
        <v>430</v>
      </c>
      <c r="D927" s="22" t="s">
        <v>69</v>
      </c>
      <c r="E927" s="22" t="s">
        <v>659</v>
      </c>
      <c r="F927" s="22" t="s">
        <v>448</v>
      </c>
      <c r="G927" s="156">
        <f>50255.5-2275.4+2098.54288+8500-800+4677.447</f>
        <v>62456.08988</v>
      </c>
      <c r="H927" s="156">
        <v>44351.242120000003</v>
      </c>
      <c r="I927" s="156">
        <f>50255.5-2275.4+2098.54288+8500-800+4677.447</f>
        <v>62456.08988</v>
      </c>
      <c r="J927" s="156">
        <f t="shared" si="206"/>
        <v>100</v>
      </c>
    </row>
    <row r="928" spans="1:10" ht="36">
      <c r="A928" s="224" t="s">
        <v>322</v>
      </c>
      <c r="B928" s="231">
        <v>612</v>
      </c>
      <c r="C928" s="140" t="s">
        <v>430</v>
      </c>
      <c r="D928" s="140" t="s">
        <v>69</v>
      </c>
      <c r="E928" s="140" t="s">
        <v>142</v>
      </c>
      <c r="F928" s="140"/>
      <c r="G928" s="175">
        <f>G929</f>
        <v>792010</v>
      </c>
      <c r="H928" s="175">
        <f>H929</f>
        <v>660254.18103999994</v>
      </c>
      <c r="I928" s="175">
        <f>I929</f>
        <v>792010</v>
      </c>
      <c r="J928" s="175">
        <f t="shared" si="206"/>
        <v>100</v>
      </c>
    </row>
    <row r="929" spans="1:10">
      <c r="A929" s="131" t="s">
        <v>94</v>
      </c>
      <c r="B929" s="211">
        <v>612</v>
      </c>
      <c r="C929" s="22" t="s">
        <v>430</v>
      </c>
      <c r="D929" s="22" t="s">
        <v>69</v>
      </c>
      <c r="E929" s="22" t="s">
        <v>142</v>
      </c>
      <c r="F929" s="22" t="s">
        <v>362</v>
      </c>
      <c r="G929" s="156">
        <f>G930+G931</f>
        <v>792010</v>
      </c>
      <c r="H929" s="156">
        <f>H930+H931</f>
        <v>660254.18103999994</v>
      </c>
      <c r="I929" s="156">
        <f>I930+I931</f>
        <v>792010</v>
      </c>
      <c r="J929" s="156">
        <f t="shared" si="206"/>
        <v>100</v>
      </c>
    </row>
    <row r="930" spans="1:10">
      <c r="A930" s="131" t="s">
        <v>95</v>
      </c>
      <c r="B930" s="211">
        <v>612</v>
      </c>
      <c r="C930" s="22" t="s">
        <v>430</v>
      </c>
      <c r="D930" s="22" t="s">
        <v>69</v>
      </c>
      <c r="E930" s="22" t="s">
        <v>142</v>
      </c>
      <c r="F930" s="22" t="s">
        <v>371</v>
      </c>
      <c r="G930" s="156">
        <f>634157+89402.482</f>
        <v>723559.48199999996</v>
      </c>
      <c r="H930" s="156">
        <v>599370.24049999996</v>
      </c>
      <c r="I930" s="156">
        <f>634157+89402.482</f>
        <v>723559.48199999996</v>
      </c>
      <c r="J930" s="156">
        <f t="shared" si="206"/>
        <v>100</v>
      </c>
    </row>
    <row r="931" spans="1:10">
      <c r="A931" s="131" t="s">
        <v>447</v>
      </c>
      <c r="B931" s="211">
        <v>612</v>
      </c>
      <c r="C931" s="22" t="s">
        <v>430</v>
      </c>
      <c r="D931" s="22" t="s">
        <v>69</v>
      </c>
      <c r="E931" s="22" t="s">
        <v>142</v>
      </c>
      <c r="F931" s="22" t="s">
        <v>448</v>
      </c>
      <c r="G931" s="156">
        <f>65877+2573.518</f>
        <v>68450.517999999996</v>
      </c>
      <c r="H931" s="156">
        <v>60883.940540000003</v>
      </c>
      <c r="I931" s="156">
        <f>65877+2573.518</f>
        <v>68450.517999999996</v>
      </c>
      <c r="J931" s="156">
        <f t="shared" ref="J931:J993" si="218">I931/G931*100</f>
        <v>100</v>
      </c>
    </row>
    <row r="932" spans="1:10">
      <c r="A932" s="133" t="s">
        <v>340</v>
      </c>
      <c r="B932" s="210">
        <v>612</v>
      </c>
      <c r="C932" s="132" t="s">
        <v>430</v>
      </c>
      <c r="D932" s="132" t="s">
        <v>431</v>
      </c>
      <c r="E932" s="132"/>
      <c r="F932" s="140"/>
      <c r="G932" s="158">
        <f>G933</f>
        <v>1567558.6874999998</v>
      </c>
      <c r="H932" s="158">
        <f>H933</f>
        <v>1275541.20924</v>
      </c>
      <c r="I932" s="158">
        <f>I933</f>
        <v>1567558.6874999998</v>
      </c>
      <c r="J932" s="158">
        <f t="shared" si="218"/>
        <v>100</v>
      </c>
    </row>
    <row r="933" spans="1:10" ht="13.5">
      <c r="A933" s="174" t="s">
        <v>673</v>
      </c>
      <c r="B933" s="144" t="s">
        <v>119</v>
      </c>
      <c r="C933" s="144" t="s">
        <v>430</v>
      </c>
      <c r="D933" s="144" t="s">
        <v>431</v>
      </c>
      <c r="E933" s="144" t="s">
        <v>139</v>
      </c>
      <c r="F933" s="144"/>
      <c r="G933" s="218">
        <f>G934+G955</f>
        <v>1567558.6874999998</v>
      </c>
      <c r="H933" s="218">
        <f>H934+H955</f>
        <v>1275541.20924</v>
      </c>
      <c r="I933" s="218">
        <f>I934+I955</f>
        <v>1567558.6874999998</v>
      </c>
      <c r="J933" s="218">
        <f t="shared" si="218"/>
        <v>100</v>
      </c>
    </row>
    <row r="934" spans="1:10">
      <c r="A934" s="133" t="s">
        <v>244</v>
      </c>
      <c r="B934" s="132" t="s">
        <v>119</v>
      </c>
      <c r="C934" s="132" t="s">
        <v>430</v>
      </c>
      <c r="D934" s="132" t="s">
        <v>431</v>
      </c>
      <c r="E934" s="132" t="s">
        <v>140</v>
      </c>
      <c r="F934" s="132"/>
      <c r="G934" s="158">
        <f>G935+G939+G943+G947+G951</f>
        <v>1556605.4874999998</v>
      </c>
      <c r="H934" s="158">
        <f>H935+H939+H943+H947+H951</f>
        <v>1268470.55424</v>
      </c>
      <c r="I934" s="158">
        <f>I935+I939+I943+I947+I951</f>
        <v>1556605.4874999998</v>
      </c>
      <c r="J934" s="158">
        <f t="shared" si="218"/>
        <v>100</v>
      </c>
    </row>
    <row r="935" spans="1:10">
      <c r="A935" s="150" t="s">
        <v>246</v>
      </c>
      <c r="B935" s="149">
        <v>612</v>
      </c>
      <c r="C935" s="148" t="s">
        <v>430</v>
      </c>
      <c r="D935" s="148" t="s">
        <v>431</v>
      </c>
      <c r="E935" s="148" t="s">
        <v>145</v>
      </c>
      <c r="F935" s="148"/>
      <c r="G935" s="178">
        <f>G936</f>
        <v>287161.31699999998</v>
      </c>
      <c r="H935" s="178">
        <f>H936</f>
        <v>231962.62142000001</v>
      </c>
      <c r="I935" s="178">
        <f>I936</f>
        <v>287161.31699999998</v>
      </c>
      <c r="J935" s="178">
        <f t="shared" si="218"/>
        <v>100</v>
      </c>
    </row>
    <row r="936" spans="1:10">
      <c r="A936" s="131" t="s">
        <v>94</v>
      </c>
      <c r="B936" s="211">
        <v>612</v>
      </c>
      <c r="C936" s="22" t="s">
        <v>430</v>
      </c>
      <c r="D936" s="22" t="s">
        <v>431</v>
      </c>
      <c r="E936" s="22" t="s">
        <v>660</v>
      </c>
      <c r="F936" s="22" t="s">
        <v>362</v>
      </c>
      <c r="G936" s="156">
        <f>G937+G938</f>
        <v>287161.31699999998</v>
      </c>
      <c r="H936" s="156">
        <f>H937+H938</f>
        <v>231962.62142000001</v>
      </c>
      <c r="I936" s="156">
        <f>I937+I938</f>
        <v>287161.31699999998</v>
      </c>
      <c r="J936" s="156">
        <f t="shared" si="218"/>
        <v>100</v>
      </c>
    </row>
    <row r="937" spans="1:10">
      <c r="A937" s="131" t="s">
        <v>95</v>
      </c>
      <c r="B937" s="211">
        <v>612</v>
      </c>
      <c r="C937" s="22" t="s">
        <v>430</v>
      </c>
      <c r="D937" s="22" t="s">
        <v>431</v>
      </c>
      <c r="E937" s="22" t="s">
        <v>660</v>
      </c>
      <c r="F937" s="22" t="s">
        <v>371</v>
      </c>
      <c r="G937" s="156">
        <f>265105.1-11946+956-4645+17158.14925+3155+8009.85</f>
        <v>277793.09924999997</v>
      </c>
      <c r="H937" s="156">
        <v>225042.21921000001</v>
      </c>
      <c r="I937" s="156">
        <f>265105.1-11946+956-4645+17158.14925+3155+8009.85</f>
        <v>277793.09924999997</v>
      </c>
      <c r="J937" s="156">
        <f t="shared" si="218"/>
        <v>100</v>
      </c>
    </row>
    <row r="938" spans="1:10">
      <c r="A938" s="131" t="s">
        <v>447</v>
      </c>
      <c r="B938" s="211">
        <v>612</v>
      </c>
      <c r="C938" s="22" t="s">
        <v>430</v>
      </c>
      <c r="D938" s="22" t="s">
        <v>431</v>
      </c>
      <c r="E938" s="22" t="s">
        <v>660</v>
      </c>
      <c r="F938" s="22" t="s">
        <v>448</v>
      </c>
      <c r="G938" s="156">
        <f>8389-100+841.85075+237.367</f>
        <v>9368.2177499999998</v>
      </c>
      <c r="H938" s="156">
        <v>6920.4022100000002</v>
      </c>
      <c r="I938" s="156">
        <f>8389-100+841.85075+237.367</f>
        <v>9368.2177499999998</v>
      </c>
      <c r="J938" s="156">
        <f t="shared" si="218"/>
        <v>100</v>
      </c>
    </row>
    <row r="939" spans="1:10" ht="48">
      <c r="A939" s="236" t="s">
        <v>330</v>
      </c>
      <c r="B939" s="140" t="s">
        <v>119</v>
      </c>
      <c r="C939" s="140" t="s">
        <v>430</v>
      </c>
      <c r="D939" s="140" t="s">
        <v>431</v>
      </c>
      <c r="E939" s="140" t="s">
        <v>247</v>
      </c>
      <c r="F939" s="140"/>
      <c r="G939" s="175">
        <f>G940</f>
        <v>991316</v>
      </c>
      <c r="H939" s="175">
        <f>H940</f>
        <v>869287.21381999995</v>
      </c>
      <c r="I939" s="175">
        <f>I940</f>
        <v>991316</v>
      </c>
      <c r="J939" s="175">
        <f t="shared" si="218"/>
        <v>100</v>
      </c>
    </row>
    <row r="940" spans="1:10">
      <c r="A940" s="131" t="s">
        <v>94</v>
      </c>
      <c r="B940" s="22" t="s">
        <v>119</v>
      </c>
      <c r="C940" s="22" t="s">
        <v>430</v>
      </c>
      <c r="D940" s="22" t="s">
        <v>431</v>
      </c>
      <c r="E940" s="22" t="s">
        <v>247</v>
      </c>
      <c r="F940" s="22" t="s">
        <v>362</v>
      </c>
      <c r="G940" s="156">
        <f>G941+G942</f>
        <v>991316</v>
      </c>
      <c r="H940" s="156">
        <f>H941+H942</f>
        <v>869287.21381999995</v>
      </c>
      <c r="I940" s="156">
        <f>I941+I942</f>
        <v>991316</v>
      </c>
      <c r="J940" s="156">
        <f t="shared" si="218"/>
        <v>100</v>
      </c>
    </row>
    <row r="941" spans="1:10">
      <c r="A941" s="131" t="s">
        <v>95</v>
      </c>
      <c r="B941" s="22" t="s">
        <v>119</v>
      </c>
      <c r="C941" s="22" t="s">
        <v>430</v>
      </c>
      <c r="D941" s="22" t="s">
        <v>431</v>
      </c>
      <c r="E941" s="22" t="s">
        <v>247</v>
      </c>
      <c r="F941" s="22" t="s">
        <v>371</v>
      </c>
      <c r="G941" s="156">
        <f>852553.4-46.8+97720</f>
        <v>950226.6</v>
      </c>
      <c r="H941" s="156">
        <v>833725.61702000001</v>
      </c>
      <c r="I941" s="156">
        <f>852553.4-46.8+97720</f>
        <v>950226.6</v>
      </c>
      <c r="J941" s="156">
        <f t="shared" si="218"/>
        <v>100</v>
      </c>
    </row>
    <row r="942" spans="1:10">
      <c r="A942" s="131" t="s">
        <v>447</v>
      </c>
      <c r="B942" s="22" t="s">
        <v>119</v>
      </c>
      <c r="C942" s="22" t="s">
        <v>430</v>
      </c>
      <c r="D942" s="22" t="s">
        <v>431</v>
      </c>
      <c r="E942" s="22" t="s">
        <v>247</v>
      </c>
      <c r="F942" s="22" t="s">
        <v>448</v>
      </c>
      <c r="G942" s="156">
        <f>41042.6+46.8</f>
        <v>41089.4</v>
      </c>
      <c r="H942" s="156">
        <v>35561.596799999999</v>
      </c>
      <c r="I942" s="156">
        <f>41042.6+46.8</f>
        <v>41089.4</v>
      </c>
      <c r="J942" s="156">
        <f t="shared" si="218"/>
        <v>100</v>
      </c>
    </row>
    <row r="943" spans="1:10" ht="24">
      <c r="A943" s="224" t="s">
        <v>714</v>
      </c>
      <c r="B943" s="140" t="s">
        <v>119</v>
      </c>
      <c r="C943" s="140" t="s">
        <v>430</v>
      </c>
      <c r="D943" s="140" t="s">
        <v>431</v>
      </c>
      <c r="E943" s="140" t="s">
        <v>715</v>
      </c>
      <c r="F943" s="140"/>
      <c r="G943" s="175">
        <f>G944</f>
        <v>99446.76</v>
      </c>
      <c r="H943" s="175">
        <f>H944</f>
        <v>80434.343000000008</v>
      </c>
      <c r="I943" s="175">
        <f>I944</f>
        <v>99446.76</v>
      </c>
      <c r="J943" s="175">
        <f t="shared" si="218"/>
        <v>100</v>
      </c>
    </row>
    <row r="944" spans="1:10">
      <c r="A944" s="131" t="s">
        <v>94</v>
      </c>
      <c r="B944" s="22" t="s">
        <v>119</v>
      </c>
      <c r="C944" s="22" t="s">
        <v>430</v>
      </c>
      <c r="D944" s="22" t="s">
        <v>431</v>
      </c>
      <c r="E944" s="22" t="s">
        <v>715</v>
      </c>
      <c r="F944" s="22" t="s">
        <v>362</v>
      </c>
      <c r="G944" s="156">
        <f>G945+G946</f>
        <v>99446.76</v>
      </c>
      <c r="H944" s="156">
        <f>H945+H946</f>
        <v>80434.343000000008</v>
      </c>
      <c r="I944" s="156">
        <f>I945+I946</f>
        <v>99446.76</v>
      </c>
      <c r="J944" s="156">
        <f t="shared" si="218"/>
        <v>100</v>
      </c>
    </row>
    <row r="945" spans="1:10">
      <c r="A945" s="131" t="s">
        <v>95</v>
      </c>
      <c r="B945" s="22" t="s">
        <v>119</v>
      </c>
      <c r="C945" s="22" t="s">
        <v>430</v>
      </c>
      <c r="D945" s="22" t="s">
        <v>431</v>
      </c>
      <c r="E945" s="22" t="s">
        <v>715</v>
      </c>
      <c r="F945" s="22" t="s">
        <v>371</v>
      </c>
      <c r="G945" s="156">
        <v>95596.76</v>
      </c>
      <c r="H945" s="156">
        <v>77284.668000000005</v>
      </c>
      <c r="I945" s="156">
        <v>95596.76</v>
      </c>
      <c r="J945" s="156">
        <f t="shared" si="218"/>
        <v>100</v>
      </c>
    </row>
    <row r="946" spans="1:10">
      <c r="A946" s="131" t="s">
        <v>447</v>
      </c>
      <c r="B946" s="22" t="s">
        <v>119</v>
      </c>
      <c r="C946" s="22" t="s">
        <v>430</v>
      </c>
      <c r="D946" s="22" t="s">
        <v>431</v>
      </c>
      <c r="E946" s="22" t="s">
        <v>715</v>
      </c>
      <c r="F946" s="22" t="s">
        <v>448</v>
      </c>
      <c r="G946" s="156">
        <v>3850</v>
      </c>
      <c r="H946" s="156">
        <v>3149.6750000000002</v>
      </c>
      <c r="I946" s="156">
        <v>3850</v>
      </c>
      <c r="J946" s="156">
        <f t="shared" si="218"/>
        <v>100</v>
      </c>
    </row>
    <row r="947" spans="1:10" ht="24">
      <c r="A947" s="224" t="s">
        <v>716</v>
      </c>
      <c r="B947" s="140" t="s">
        <v>119</v>
      </c>
      <c r="C947" s="140" t="s">
        <v>430</v>
      </c>
      <c r="D947" s="140" t="s">
        <v>431</v>
      </c>
      <c r="E947" s="140" t="s">
        <v>717</v>
      </c>
      <c r="F947" s="140"/>
      <c r="G947" s="175">
        <f>G948</f>
        <v>170477.85149999999</v>
      </c>
      <c r="H947" s="175">
        <f>H948</f>
        <v>86786.376000000004</v>
      </c>
      <c r="I947" s="175">
        <f>I948</f>
        <v>170477.85149999999</v>
      </c>
      <c r="J947" s="175">
        <f t="shared" si="218"/>
        <v>100</v>
      </c>
    </row>
    <row r="948" spans="1:10">
      <c r="A948" s="131" t="s">
        <v>94</v>
      </c>
      <c r="B948" s="22" t="s">
        <v>119</v>
      </c>
      <c r="C948" s="22" t="s">
        <v>430</v>
      </c>
      <c r="D948" s="22" t="s">
        <v>431</v>
      </c>
      <c r="E948" s="22" t="s">
        <v>717</v>
      </c>
      <c r="F948" s="22" t="s">
        <v>362</v>
      </c>
      <c r="G948" s="156">
        <f>G949+G950</f>
        <v>170477.85149999999</v>
      </c>
      <c r="H948" s="156">
        <f>H949+H950</f>
        <v>86786.376000000004</v>
      </c>
      <c r="I948" s="156">
        <f>I949+I950</f>
        <v>170477.85149999999</v>
      </c>
      <c r="J948" s="156">
        <f t="shared" si="218"/>
        <v>100</v>
      </c>
    </row>
    <row r="949" spans="1:10">
      <c r="A949" s="131" t="s">
        <v>95</v>
      </c>
      <c r="B949" s="22" t="s">
        <v>119</v>
      </c>
      <c r="C949" s="22" t="s">
        <v>430</v>
      </c>
      <c r="D949" s="22" t="s">
        <v>431</v>
      </c>
      <c r="E949" s="22" t="s">
        <v>717</v>
      </c>
      <c r="F949" s="22" t="s">
        <v>371</v>
      </c>
      <c r="G949" s="156">
        <f>170477.8515-G950</f>
        <v>162904.05549999999</v>
      </c>
      <c r="H949" s="156">
        <v>82791.885999999999</v>
      </c>
      <c r="I949" s="156">
        <f>170477.8515-I950</f>
        <v>162904.05549999999</v>
      </c>
      <c r="J949" s="156">
        <f t="shared" si="218"/>
        <v>100</v>
      </c>
    </row>
    <row r="950" spans="1:10">
      <c r="A950" s="131" t="s">
        <v>447</v>
      </c>
      <c r="B950" s="22" t="s">
        <v>119</v>
      </c>
      <c r="C950" s="22" t="s">
        <v>430</v>
      </c>
      <c r="D950" s="22" t="s">
        <v>431</v>
      </c>
      <c r="E950" s="22" t="s">
        <v>717</v>
      </c>
      <c r="F950" s="22" t="s">
        <v>448</v>
      </c>
      <c r="G950" s="156">
        <v>7573.7960000000003</v>
      </c>
      <c r="H950" s="156">
        <v>3994.49</v>
      </c>
      <c r="I950" s="156">
        <v>7573.7960000000003</v>
      </c>
      <c r="J950" s="156">
        <f t="shared" si="218"/>
        <v>100</v>
      </c>
    </row>
    <row r="951" spans="1:10" ht="24">
      <c r="A951" s="249" t="s">
        <v>740</v>
      </c>
      <c r="B951" s="250" t="s">
        <v>119</v>
      </c>
      <c r="C951" s="250" t="s">
        <v>430</v>
      </c>
      <c r="D951" s="250" t="s">
        <v>431</v>
      </c>
      <c r="E951" s="250" t="s">
        <v>741</v>
      </c>
      <c r="F951" s="251"/>
      <c r="G951" s="252">
        <f>G952</f>
        <v>8203.5589999999993</v>
      </c>
      <c r="H951" s="328">
        <f>H952</f>
        <v>0</v>
      </c>
      <c r="I951" s="252">
        <f>I952</f>
        <v>8203.5589999999993</v>
      </c>
      <c r="J951" s="252">
        <f t="shared" si="218"/>
        <v>100</v>
      </c>
    </row>
    <row r="952" spans="1:10">
      <c r="A952" s="253" t="s">
        <v>94</v>
      </c>
      <c r="B952" s="251" t="s">
        <v>119</v>
      </c>
      <c r="C952" s="251" t="s">
        <v>430</v>
      </c>
      <c r="D952" s="251" t="s">
        <v>431</v>
      </c>
      <c r="E952" s="251" t="s">
        <v>741</v>
      </c>
      <c r="F952" s="251" t="s">
        <v>362</v>
      </c>
      <c r="G952" s="254">
        <f>G953+G954</f>
        <v>8203.5589999999993</v>
      </c>
      <c r="H952" s="329">
        <f>H953+H954</f>
        <v>0</v>
      </c>
      <c r="I952" s="254">
        <f>I953+I954</f>
        <v>8203.5589999999993</v>
      </c>
      <c r="J952" s="254">
        <f t="shared" si="218"/>
        <v>100</v>
      </c>
    </row>
    <row r="953" spans="1:10">
      <c r="A953" s="253" t="s">
        <v>95</v>
      </c>
      <c r="B953" s="251" t="s">
        <v>119</v>
      </c>
      <c r="C953" s="251" t="s">
        <v>430</v>
      </c>
      <c r="D953" s="251" t="s">
        <v>431</v>
      </c>
      <c r="E953" s="251" t="s">
        <v>741</v>
      </c>
      <c r="F953" s="251" t="s">
        <v>371</v>
      </c>
      <c r="G953" s="254">
        <v>7000</v>
      </c>
      <c r="H953" s="329">
        <v>0</v>
      </c>
      <c r="I953" s="254">
        <v>7000</v>
      </c>
      <c r="J953" s="254">
        <f t="shared" si="218"/>
        <v>100</v>
      </c>
    </row>
    <row r="954" spans="1:10">
      <c r="A954" s="253" t="s">
        <v>447</v>
      </c>
      <c r="B954" s="251" t="s">
        <v>119</v>
      </c>
      <c r="C954" s="251" t="s">
        <v>430</v>
      </c>
      <c r="D954" s="251" t="s">
        <v>431</v>
      </c>
      <c r="E954" s="251" t="s">
        <v>741</v>
      </c>
      <c r="F954" s="251" t="s">
        <v>448</v>
      </c>
      <c r="G954" s="254">
        <v>1203.559</v>
      </c>
      <c r="H954" s="329">
        <v>0</v>
      </c>
      <c r="I954" s="254">
        <v>1203.559</v>
      </c>
      <c r="J954" s="254">
        <f t="shared" si="218"/>
        <v>100</v>
      </c>
    </row>
    <row r="955" spans="1:10">
      <c r="A955" s="133" t="s">
        <v>259</v>
      </c>
      <c r="B955" s="132" t="s">
        <v>119</v>
      </c>
      <c r="C955" s="132" t="s">
        <v>430</v>
      </c>
      <c r="D955" s="132" t="s">
        <v>431</v>
      </c>
      <c r="E955" s="132" t="s">
        <v>148</v>
      </c>
      <c r="F955" s="132"/>
      <c r="G955" s="158">
        <f t="shared" ref="G955:I956" si="219">G956</f>
        <v>10953.199999999999</v>
      </c>
      <c r="H955" s="158">
        <f t="shared" si="219"/>
        <v>7070.6549999999997</v>
      </c>
      <c r="I955" s="158">
        <f t="shared" si="219"/>
        <v>10953.199999999999</v>
      </c>
      <c r="J955" s="158">
        <f t="shared" si="218"/>
        <v>100</v>
      </c>
    </row>
    <row r="956" spans="1:10">
      <c r="A956" s="240" t="s">
        <v>155</v>
      </c>
      <c r="B956" s="140" t="s">
        <v>119</v>
      </c>
      <c r="C956" s="140" t="s">
        <v>430</v>
      </c>
      <c r="D956" s="140" t="s">
        <v>431</v>
      </c>
      <c r="E956" s="140" t="s">
        <v>433</v>
      </c>
      <c r="F956" s="140"/>
      <c r="G956" s="175">
        <f t="shared" si="219"/>
        <v>10953.199999999999</v>
      </c>
      <c r="H956" s="175">
        <f t="shared" si="219"/>
        <v>7070.6549999999997</v>
      </c>
      <c r="I956" s="175">
        <f t="shared" si="219"/>
        <v>10953.199999999999</v>
      </c>
      <c r="J956" s="175">
        <f t="shared" si="218"/>
        <v>100</v>
      </c>
    </row>
    <row r="957" spans="1:10">
      <c r="A957" s="131" t="s">
        <v>94</v>
      </c>
      <c r="B957" s="22" t="s">
        <v>119</v>
      </c>
      <c r="C957" s="22" t="s">
        <v>430</v>
      </c>
      <c r="D957" s="22" t="s">
        <v>431</v>
      </c>
      <c r="E957" s="22" t="s">
        <v>661</v>
      </c>
      <c r="F957" s="22" t="s">
        <v>362</v>
      </c>
      <c r="G957" s="156">
        <f>G958+G959</f>
        <v>10953.199999999999</v>
      </c>
      <c r="H957" s="156">
        <f>H958+H959</f>
        <v>7070.6549999999997</v>
      </c>
      <c r="I957" s="156">
        <f>I958+I959</f>
        <v>10953.199999999999</v>
      </c>
      <c r="J957" s="156">
        <f t="shared" si="218"/>
        <v>100</v>
      </c>
    </row>
    <row r="958" spans="1:10">
      <c r="A958" s="131" t="s">
        <v>95</v>
      </c>
      <c r="B958" s="22" t="s">
        <v>119</v>
      </c>
      <c r="C958" s="22" t="s">
        <v>430</v>
      </c>
      <c r="D958" s="22" t="s">
        <v>431</v>
      </c>
      <c r="E958" s="22" t="s">
        <v>661</v>
      </c>
      <c r="F958" s="22" t="s">
        <v>371</v>
      </c>
      <c r="G958" s="156">
        <v>10857.9</v>
      </c>
      <c r="H958" s="156">
        <v>6988.32</v>
      </c>
      <c r="I958" s="156">
        <v>10857.9</v>
      </c>
      <c r="J958" s="156">
        <f t="shared" si="218"/>
        <v>100</v>
      </c>
    </row>
    <row r="959" spans="1:10">
      <c r="A959" s="131" t="s">
        <v>447</v>
      </c>
      <c r="B959" s="22" t="s">
        <v>119</v>
      </c>
      <c r="C959" s="22" t="s">
        <v>430</v>
      </c>
      <c r="D959" s="22" t="s">
        <v>431</v>
      </c>
      <c r="E959" s="22" t="s">
        <v>661</v>
      </c>
      <c r="F959" s="22" t="s">
        <v>448</v>
      </c>
      <c r="G959" s="156">
        <v>95.3</v>
      </c>
      <c r="H959" s="156">
        <v>82.334999999999994</v>
      </c>
      <c r="I959" s="156">
        <v>95.3</v>
      </c>
      <c r="J959" s="156">
        <f t="shared" si="218"/>
        <v>100</v>
      </c>
    </row>
    <row r="960" spans="1:10">
      <c r="A960" s="255" t="s">
        <v>248</v>
      </c>
      <c r="B960" s="132" t="s">
        <v>119</v>
      </c>
      <c r="C960" s="132" t="s">
        <v>430</v>
      </c>
      <c r="D960" s="132" t="s">
        <v>423</v>
      </c>
      <c r="E960" s="132"/>
      <c r="F960" s="132"/>
      <c r="G960" s="158">
        <f t="shared" ref="G960:I963" si="220">G961</f>
        <v>101273.7</v>
      </c>
      <c r="H960" s="158">
        <f t="shared" si="220"/>
        <v>83640.682660000006</v>
      </c>
      <c r="I960" s="158">
        <f t="shared" si="220"/>
        <v>101273.7</v>
      </c>
      <c r="J960" s="158">
        <f t="shared" si="218"/>
        <v>100</v>
      </c>
    </row>
    <row r="961" spans="1:10" ht="13.5">
      <c r="A961" s="174" t="s">
        <v>673</v>
      </c>
      <c r="B961" s="144" t="s">
        <v>119</v>
      </c>
      <c r="C961" s="144" t="s">
        <v>430</v>
      </c>
      <c r="D961" s="144" t="s">
        <v>423</v>
      </c>
      <c r="E961" s="144" t="s">
        <v>139</v>
      </c>
      <c r="F961" s="148"/>
      <c r="G961" s="218">
        <f t="shared" si="220"/>
        <v>101273.7</v>
      </c>
      <c r="H961" s="218">
        <f t="shared" si="220"/>
        <v>83640.682660000006</v>
      </c>
      <c r="I961" s="218">
        <f t="shared" si="220"/>
        <v>101273.7</v>
      </c>
      <c r="J961" s="218">
        <f t="shared" si="218"/>
        <v>100</v>
      </c>
    </row>
    <row r="962" spans="1:10">
      <c r="A962" s="133" t="s">
        <v>244</v>
      </c>
      <c r="B962" s="132" t="s">
        <v>119</v>
      </c>
      <c r="C962" s="132" t="s">
        <v>430</v>
      </c>
      <c r="D962" s="132" t="s">
        <v>423</v>
      </c>
      <c r="E962" s="132" t="s">
        <v>140</v>
      </c>
      <c r="F962" s="22"/>
      <c r="G962" s="158">
        <f t="shared" si="220"/>
        <v>101273.7</v>
      </c>
      <c r="H962" s="158">
        <f t="shared" si="220"/>
        <v>83640.682660000006</v>
      </c>
      <c r="I962" s="158">
        <f t="shared" si="220"/>
        <v>101273.7</v>
      </c>
      <c r="J962" s="158">
        <f t="shared" si="218"/>
        <v>100</v>
      </c>
    </row>
    <row r="963" spans="1:10" ht="24">
      <c r="A963" s="224" t="s">
        <v>249</v>
      </c>
      <c r="B963" s="140" t="s">
        <v>119</v>
      </c>
      <c r="C963" s="140" t="s">
        <v>430</v>
      </c>
      <c r="D963" s="140" t="s">
        <v>423</v>
      </c>
      <c r="E963" s="140" t="s">
        <v>146</v>
      </c>
      <c r="F963" s="140"/>
      <c r="G963" s="175">
        <f t="shared" si="220"/>
        <v>101273.7</v>
      </c>
      <c r="H963" s="175">
        <f t="shared" si="220"/>
        <v>83640.682660000006</v>
      </c>
      <c r="I963" s="175">
        <f t="shared" si="220"/>
        <v>101273.7</v>
      </c>
      <c r="J963" s="175">
        <f t="shared" si="218"/>
        <v>100</v>
      </c>
    </row>
    <row r="964" spans="1:10">
      <c r="A964" s="131" t="s">
        <v>94</v>
      </c>
      <c r="B964" s="22" t="s">
        <v>119</v>
      </c>
      <c r="C964" s="22" t="s">
        <v>430</v>
      </c>
      <c r="D964" s="22" t="s">
        <v>423</v>
      </c>
      <c r="E964" s="22" t="s">
        <v>662</v>
      </c>
      <c r="F964" s="22" t="s">
        <v>362</v>
      </c>
      <c r="G964" s="156">
        <f>G965+G966</f>
        <v>101273.7</v>
      </c>
      <c r="H964" s="156">
        <f>H965+H966</f>
        <v>83640.682660000006</v>
      </c>
      <c r="I964" s="156">
        <f>I965+I966</f>
        <v>101273.7</v>
      </c>
      <c r="J964" s="156">
        <f t="shared" si="218"/>
        <v>100</v>
      </c>
    </row>
    <row r="965" spans="1:10">
      <c r="A965" s="131" t="s">
        <v>95</v>
      </c>
      <c r="B965" s="211">
        <v>612</v>
      </c>
      <c r="C965" s="22" t="s">
        <v>430</v>
      </c>
      <c r="D965" s="22" t="s">
        <v>423</v>
      </c>
      <c r="E965" s="22" t="s">
        <v>662</v>
      </c>
      <c r="F965" s="22" t="s">
        <v>371</v>
      </c>
      <c r="G965" s="156">
        <f>3214.5-2212.196</f>
        <v>1002.3040000000001</v>
      </c>
      <c r="H965" s="156">
        <v>1002.304</v>
      </c>
      <c r="I965" s="156">
        <f>3214.5-2212.196</f>
        <v>1002.3040000000001</v>
      </c>
      <c r="J965" s="156">
        <f t="shared" si="218"/>
        <v>100</v>
      </c>
    </row>
    <row r="966" spans="1:10">
      <c r="A966" s="131" t="s">
        <v>447</v>
      </c>
      <c r="B966" s="211">
        <v>612</v>
      </c>
      <c r="C966" s="22" t="s">
        <v>430</v>
      </c>
      <c r="D966" s="22" t="s">
        <v>423</v>
      </c>
      <c r="E966" s="22" t="s">
        <v>662</v>
      </c>
      <c r="F966" s="22" t="s">
        <v>448</v>
      </c>
      <c r="G966" s="156">
        <f>98118.5-659.3+2212.196+600</f>
        <v>100271.39599999999</v>
      </c>
      <c r="H966" s="156">
        <v>82638.378660000002</v>
      </c>
      <c r="I966" s="156">
        <f>98118.5-659.3+2212.196+600</f>
        <v>100271.39599999999</v>
      </c>
      <c r="J966" s="156">
        <f t="shared" si="218"/>
        <v>100</v>
      </c>
    </row>
    <row r="967" spans="1:10">
      <c r="A967" s="133" t="s">
        <v>568</v>
      </c>
      <c r="B967" s="132" t="s">
        <v>119</v>
      </c>
      <c r="C967" s="132" t="s">
        <v>430</v>
      </c>
      <c r="D967" s="132" t="s">
        <v>430</v>
      </c>
      <c r="E967" s="132"/>
      <c r="F967" s="132"/>
      <c r="G967" s="158">
        <f t="shared" ref="G967:I971" si="221">G968</f>
        <v>585</v>
      </c>
      <c r="H967" s="158">
        <f t="shared" si="221"/>
        <v>506.38983000000002</v>
      </c>
      <c r="I967" s="158">
        <f t="shared" si="221"/>
        <v>585</v>
      </c>
      <c r="J967" s="158">
        <f t="shared" si="218"/>
        <v>100</v>
      </c>
    </row>
    <row r="968" spans="1:10">
      <c r="A968" s="173" t="s">
        <v>67</v>
      </c>
      <c r="B968" s="140" t="s">
        <v>119</v>
      </c>
      <c r="C968" s="140" t="s">
        <v>430</v>
      </c>
      <c r="D968" s="140" t="s">
        <v>430</v>
      </c>
      <c r="E968" s="140" t="s">
        <v>187</v>
      </c>
      <c r="F968" s="140"/>
      <c r="G968" s="175">
        <f t="shared" si="221"/>
        <v>585</v>
      </c>
      <c r="H968" s="175">
        <f t="shared" si="221"/>
        <v>506.38983000000002</v>
      </c>
      <c r="I968" s="175">
        <f t="shared" si="221"/>
        <v>585</v>
      </c>
      <c r="J968" s="175">
        <f t="shared" si="218"/>
        <v>100</v>
      </c>
    </row>
    <row r="969" spans="1:10">
      <c r="A969" s="212" t="s">
        <v>272</v>
      </c>
      <c r="B969" s="132" t="s">
        <v>119</v>
      </c>
      <c r="C969" s="132" t="s">
        <v>430</v>
      </c>
      <c r="D969" s="132" t="s">
        <v>430</v>
      </c>
      <c r="E969" s="132" t="s">
        <v>188</v>
      </c>
      <c r="F969" s="132"/>
      <c r="G969" s="158">
        <f t="shared" si="221"/>
        <v>585</v>
      </c>
      <c r="H969" s="158">
        <f t="shared" si="221"/>
        <v>506.38983000000002</v>
      </c>
      <c r="I969" s="158">
        <f t="shared" si="221"/>
        <v>585</v>
      </c>
      <c r="J969" s="158">
        <f t="shared" si="218"/>
        <v>100</v>
      </c>
    </row>
    <row r="970" spans="1:10">
      <c r="A970" s="173" t="s">
        <v>290</v>
      </c>
      <c r="B970" s="140" t="s">
        <v>119</v>
      </c>
      <c r="C970" s="140" t="s">
        <v>430</v>
      </c>
      <c r="D970" s="140" t="s">
        <v>430</v>
      </c>
      <c r="E970" s="140" t="s">
        <v>477</v>
      </c>
      <c r="F970" s="140"/>
      <c r="G970" s="175">
        <f t="shared" si="221"/>
        <v>585</v>
      </c>
      <c r="H970" s="175">
        <f t="shared" si="221"/>
        <v>506.38983000000002</v>
      </c>
      <c r="I970" s="175">
        <f t="shared" si="221"/>
        <v>585</v>
      </c>
      <c r="J970" s="175">
        <f t="shared" si="218"/>
        <v>100</v>
      </c>
    </row>
    <row r="971" spans="1:10">
      <c r="A971" s="131" t="s">
        <v>94</v>
      </c>
      <c r="B971" s="22" t="s">
        <v>119</v>
      </c>
      <c r="C971" s="22" t="s">
        <v>430</v>
      </c>
      <c r="D971" s="22" t="s">
        <v>430</v>
      </c>
      <c r="E971" s="22" t="s">
        <v>477</v>
      </c>
      <c r="F971" s="22" t="s">
        <v>362</v>
      </c>
      <c r="G971" s="156">
        <f t="shared" si="221"/>
        <v>585</v>
      </c>
      <c r="H971" s="156">
        <f t="shared" si="221"/>
        <v>506.38983000000002</v>
      </c>
      <c r="I971" s="156">
        <f t="shared" si="221"/>
        <v>585</v>
      </c>
      <c r="J971" s="156">
        <f t="shared" si="218"/>
        <v>100</v>
      </c>
    </row>
    <row r="972" spans="1:10">
      <c r="A972" s="131" t="s">
        <v>95</v>
      </c>
      <c r="B972" s="22" t="s">
        <v>119</v>
      </c>
      <c r="C972" s="22" t="s">
        <v>430</v>
      </c>
      <c r="D972" s="22" t="s">
        <v>430</v>
      </c>
      <c r="E972" s="22" t="s">
        <v>477</v>
      </c>
      <c r="F972" s="22" t="s">
        <v>371</v>
      </c>
      <c r="G972" s="156">
        <v>585</v>
      </c>
      <c r="H972" s="156">
        <v>506.38983000000002</v>
      </c>
      <c r="I972" s="156">
        <v>585</v>
      </c>
      <c r="J972" s="156">
        <f t="shared" si="218"/>
        <v>100</v>
      </c>
    </row>
    <row r="973" spans="1:10">
      <c r="A973" s="133" t="s">
        <v>341</v>
      </c>
      <c r="B973" s="132" t="s">
        <v>119</v>
      </c>
      <c r="C973" s="132" t="s">
        <v>430</v>
      </c>
      <c r="D973" s="132" t="s">
        <v>424</v>
      </c>
      <c r="E973" s="132"/>
      <c r="F973" s="22"/>
      <c r="G973" s="158">
        <f>G974+G1015</f>
        <v>100943.99599999998</v>
      </c>
      <c r="H973" s="158">
        <f>H974+H1015</f>
        <v>76866.920169999998</v>
      </c>
      <c r="I973" s="158">
        <f>I974+I1015</f>
        <v>100943.99599999998</v>
      </c>
      <c r="J973" s="158">
        <f t="shared" si="218"/>
        <v>100</v>
      </c>
    </row>
    <row r="974" spans="1:10" ht="13.5">
      <c r="A974" s="174" t="s">
        <v>673</v>
      </c>
      <c r="B974" s="144" t="s">
        <v>119</v>
      </c>
      <c r="C974" s="144" t="s">
        <v>430</v>
      </c>
      <c r="D974" s="144" t="s">
        <v>424</v>
      </c>
      <c r="E974" s="144" t="s">
        <v>139</v>
      </c>
      <c r="F974" s="22"/>
      <c r="G974" s="218">
        <f>G975+G983+G1004</f>
        <v>99687.599999999991</v>
      </c>
      <c r="H974" s="218">
        <f>H975+H983+H1004</f>
        <v>75610.524179999993</v>
      </c>
      <c r="I974" s="218">
        <f>I975+I983+I1004</f>
        <v>99687.599999999991</v>
      </c>
      <c r="J974" s="218">
        <f t="shared" si="218"/>
        <v>100</v>
      </c>
    </row>
    <row r="975" spans="1:10">
      <c r="A975" s="133" t="s">
        <v>244</v>
      </c>
      <c r="B975" s="132" t="s">
        <v>119</v>
      </c>
      <c r="C975" s="132" t="s">
        <v>430</v>
      </c>
      <c r="D975" s="132" t="s">
        <v>424</v>
      </c>
      <c r="E975" s="132" t="s">
        <v>140</v>
      </c>
      <c r="F975" s="132"/>
      <c r="G975" s="158">
        <f>G976+G979</f>
        <v>82270.2</v>
      </c>
      <c r="H975" s="158">
        <f>H976+H979</f>
        <v>62853.085550000003</v>
      </c>
      <c r="I975" s="158">
        <f>I976+I979</f>
        <v>82270.2</v>
      </c>
      <c r="J975" s="158">
        <f t="shared" si="218"/>
        <v>100</v>
      </c>
    </row>
    <row r="976" spans="1:10" ht="24">
      <c r="A976" s="224" t="s">
        <v>251</v>
      </c>
      <c r="B976" s="140" t="s">
        <v>119</v>
      </c>
      <c r="C976" s="140" t="s">
        <v>430</v>
      </c>
      <c r="D976" s="140" t="s">
        <v>424</v>
      </c>
      <c r="E976" s="140" t="s">
        <v>250</v>
      </c>
      <c r="F976" s="140"/>
      <c r="G976" s="175">
        <f t="shared" ref="G976:I977" si="222">G977</f>
        <v>9279.2000000000007</v>
      </c>
      <c r="H976" s="175">
        <f t="shared" si="222"/>
        <v>6284.14876</v>
      </c>
      <c r="I976" s="175">
        <f t="shared" si="222"/>
        <v>9279.2000000000007</v>
      </c>
      <c r="J976" s="175">
        <f t="shared" si="218"/>
        <v>100</v>
      </c>
    </row>
    <row r="977" spans="1:10">
      <c r="A977" s="131" t="s">
        <v>94</v>
      </c>
      <c r="B977" s="22" t="s">
        <v>119</v>
      </c>
      <c r="C977" s="22" t="s">
        <v>430</v>
      </c>
      <c r="D977" s="22" t="s">
        <v>424</v>
      </c>
      <c r="E977" s="22" t="s">
        <v>663</v>
      </c>
      <c r="F977" s="22" t="s">
        <v>362</v>
      </c>
      <c r="G977" s="156">
        <f>G978</f>
        <v>9279.2000000000007</v>
      </c>
      <c r="H977" s="156">
        <f t="shared" si="222"/>
        <v>6284.14876</v>
      </c>
      <c r="I977" s="156">
        <f t="shared" si="222"/>
        <v>9279.2000000000007</v>
      </c>
      <c r="J977" s="156">
        <f t="shared" si="218"/>
        <v>100</v>
      </c>
    </row>
    <row r="978" spans="1:10">
      <c r="A978" s="131" t="s">
        <v>95</v>
      </c>
      <c r="B978" s="211">
        <v>612</v>
      </c>
      <c r="C978" s="22" t="s">
        <v>430</v>
      </c>
      <c r="D978" s="22" t="s">
        <v>424</v>
      </c>
      <c r="E978" s="22" t="s">
        <v>663</v>
      </c>
      <c r="F978" s="22" t="s">
        <v>371</v>
      </c>
      <c r="G978" s="156">
        <v>9279.2000000000007</v>
      </c>
      <c r="H978" s="156">
        <v>6284.14876</v>
      </c>
      <c r="I978" s="156">
        <v>9279.2000000000007</v>
      </c>
      <c r="J978" s="156">
        <f t="shared" si="218"/>
        <v>100</v>
      </c>
    </row>
    <row r="979" spans="1:10">
      <c r="A979" s="224" t="s">
        <v>257</v>
      </c>
      <c r="B979" s="149">
        <v>612</v>
      </c>
      <c r="C979" s="148" t="s">
        <v>430</v>
      </c>
      <c r="D979" s="148" t="s">
        <v>424</v>
      </c>
      <c r="E979" s="140" t="s">
        <v>252</v>
      </c>
      <c r="F979" s="140"/>
      <c r="G979" s="175">
        <f>G980</f>
        <v>72991</v>
      </c>
      <c r="H979" s="175">
        <f>H980</f>
        <v>56568.93679</v>
      </c>
      <c r="I979" s="175">
        <f>I980</f>
        <v>72991</v>
      </c>
      <c r="J979" s="175">
        <f t="shared" si="218"/>
        <v>100</v>
      </c>
    </row>
    <row r="980" spans="1:10">
      <c r="A980" s="131" t="s">
        <v>94</v>
      </c>
      <c r="B980" s="22" t="s">
        <v>119</v>
      </c>
      <c r="C980" s="22" t="s">
        <v>430</v>
      </c>
      <c r="D980" s="22" t="s">
        <v>424</v>
      </c>
      <c r="E980" s="22" t="s">
        <v>664</v>
      </c>
      <c r="F980" s="22" t="s">
        <v>362</v>
      </c>
      <c r="G980" s="156">
        <f>G981+G982</f>
        <v>72991</v>
      </c>
      <c r="H980" s="156">
        <f>H981+H982</f>
        <v>56568.93679</v>
      </c>
      <c r="I980" s="156">
        <f>I981+I982</f>
        <v>72991</v>
      </c>
      <c r="J980" s="156">
        <f t="shared" si="218"/>
        <v>100</v>
      </c>
    </row>
    <row r="981" spans="1:10">
      <c r="A981" s="131" t="s">
        <v>95</v>
      </c>
      <c r="B981" s="211">
        <v>612</v>
      </c>
      <c r="C981" s="22" t="s">
        <v>430</v>
      </c>
      <c r="D981" s="22" t="s">
        <v>424</v>
      </c>
      <c r="E981" s="22" t="s">
        <v>664</v>
      </c>
      <c r="F981" s="22" t="s">
        <v>371</v>
      </c>
      <c r="G981" s="156">
        <f>67378-19.856-471.30512-1510.474+413</f>
        <v>65789.364879999994</v>
      </c>
      <c r="H981" s="156">
        <v>51341.047910000001</v>
      </c>
      <c r="I981" s="156">
        <f>67378-19.856-471.30512-1510.474+413</f>
        <v>65789.364879999994</v>
      </c>
      <c r="J981" s="156">
        <f t="shared" si="218"/>
        <v>100</v>
      </c>
    </row>
    <row r="982" spans="1:10">
      <c r="A982" s="131" t="s">
        <v>447</v>
      </c>
      <c r="B982" s="211">
        <v>612</v>
      </c>
      <c r="C982" s="22" t="s">
        <v>430</v>
      </c>
      <c r="D982" s="22" t="s">
        <v>424</v>
      </c>
      <c r="E982" s="22" t="s">
        <v>664</v>
      </c>
      <c r="F982" s="22" t="s">
        <v>448</v>
      </c>
      <c r="G982" s="156">
        <f>5200+19.856+471.30512+1510.474</f>
        <v>7201.6351199999999</v>
      </c>
      <c r="H982" s="156">
        <v>5227.8888800000004</v>
      </c>
      <c r="I982" s="156">
        <f>5200+19.856+471.30512+1510.474</f>
        <v>7201.6351199999999</v>
      </c>
      <c r="J982" s="156">
        <f t="shared" si="218"/>
        <v>100</v>
      </c>
    </row>
    <row r="983" spans="1:10">
      <c r="A983" s="133" t="s">
        <v>400</v>
      </c>
      <c r="B983" s="132" t="s">
        <v>119</v>
      </c>
      <c r="C983" s="132" t="s">
        <v>430</v>
      </c>
      <c r="D983" s="132" t="s">
        <v>424</v>
      </c>
      <c r="E983" s="132" t="s">
        <v>147</v>
      </c>
      <c r="F983" s="132"/>
      <c r="G983" s="158">
        <f>G984+G992+G997</f>
        <v>6020</v>
      </c>
      <c r="H983" s="158">
        <f>H984+H992+H997</f>
        <v>4003.1688300000001</v>
      </c>
      <c r="I983" s="158">
        <f>I984+I992+I997</f>
        <v>6020</v>
      </c>
      <c r="J983" s="158">
        <f t="shared" si="218"/>
        <v>100</v>
      </c>
    </row>
    <row r="984" spans="1:10" ht="24">
      <c r="A984" s="229" t="s">
        <v>150</v>
      </c>
      <c r="B984" s="132" t="s">
        <v>119</v>
      </c>
      <c r="C984" s="132" t="s">
        <v>430</v>
      </c>
      <c r="D984" s="132" t="s">
        <v>424</v>
      </c>
      <c r="E984" s="132" t="s">
        <v>122</v>
      </c>
      <c r="F984" s="140"/>
      <c r="G984" s="158">
        <f>G985</f>
        <v>4035</v>
      </c>
      <c r="H984" s="158">
        <f>H985</f>
        <v>3353.8201300000001</v>
      </c>
      <c r="I984" s="158">
        <f>I985</f>
        <v>4035</v>
      </c>
      <c r="J984" s="158">
        <f t="shared" si="218"/>
        <v>100</v>
      </c>
    </row>
    <row r="985" spans="1:10">
      <c r="A985" s="150" t="s">
        <v>425</v>
      </c>
      <c r="B985" s="149">
        <v>612</v>
      </c>
      <c r="C985" s="148" t="s">
        <v>430</v>
      </c>
      <c r="D985" s="148" t="s">
        <v>424</v>
      </c>
      <c r="E985" s="148" t="s">
        <v>665</v>
      </c>
      <c r="F985" s="148"/>
      <c r="G985" s="178">
        <f>G986+G988+G990</f>
        <v>4035</v>
      </c>
      <c r="H985" s="178">
        <f>H986+H988+H990</f>
        <v>3353.8201300000001</v>
      </c>
      <c r="I985" s="178">
        <f>I986+I988+I990</f>
        <v>4035</v>
      </c>
      <c r="J985" s="178">
        <f t="shared" si="218"/>
        <v>100</v>
      </c>
    </row>
    <row r="986" spans="1:10" ht="36">
      <c r="A986" s="131" t="s">
        <v>72</v>
      </c>
      <c r="B986" s="211">
        <v>612</v>
      </c>
      <c r="C986" s="22" t="s">
        <v>430</v>
      </c>
      <c r="D986" s="22" t="s">
        <v>424</v>
      </c>
      <c r="E986" s="22" t="s">
        <v>665</v>
      </c>
      <c r="F986" s="22" t="s">
        <v>73</v>
      </c>
      <c r="G986" s="156">
        <f>G987</f>
        <v>3930</v>
      </c>
      <c r="H986" s="156">
        <f>H987</f>
        <v>3312.0881300000001</v>
      </c>
      <c r="I986" s="156">
        <f>I987</f>
        <v>3930</v>
      </c>
      <c r="J986" s="156">
        <f t="shared" si="218"/>
        <v>100</v>
      </c>
    </row>
    <row r="987" spans="1:10">
      <c r="A987" s="131" t="s">
        <v>426</v>
      </c>
      <c r="B987" s="211">
        <v>612</v>
      </c>
      <c r="C987" s="22" t="s">
        <v>430</v>
      </c>
      <c r="D987" s="22" t="s">
        <v>424</v>
      </c>
      <c r="E987" s="22" t="s">
        <v>665</v>
      </c>
      <c r="F987" s="22" t="s">
        <v>427</v>
      </c>
      <c r="G987" s="156">
        <f>3930</f>
        <v>3930</v>
      </c>
      <c r="H987" s="156">
        <v>3312.0881300000001</v>
      </c>
      <c r="I987" s="156">
        <f>3930</f>
        <v>3930</v>
      </c>
      <c r="J987" s="156">
        <f t="shared" si="218"/>
        <v>100</v>
      </c>
    </row>
    <row r="988" spans="1:10">
      <c r="A988" s="131" t="s">
        <v>486</v>
      </c>
      <c r="B988" s="211">
        <v>612</v>
      </c>
      <c r="C988" s="22" t="s">
        <v>430</v>
      </c>
      <c r="D988" s="22" t="s">
        <v>424</v>
      </c>
      <c r="E988" s="22" t="s">
        <v>665</v>
      </c>
      <c r="F988" s="22" t="s">
        <v>77</v>
      </c>
      <c r="G988" s="156">
        <f>G989</f>
        <v>100</v>
      </c>
      <c r="H988" s="156">
        <f>H989</f>
        <v>41.731999999999999</v>
      </c>
      <c r="I988" s="156">
        <f>I989</f>
        <v>100</v>
      </c>
      <c r="J988" s="156">
        <f t="shared" si="218"/>
        <v>100</v>
      </c>
    </row>
    <row r="989" spans="1:10">
      <c r="A989" s="131" t="s">
        <v>78</v>
      </c>
      <c r="B989" s="211">
        <v>612</v>
      </c>
      <c r="C989" s="22" t="s">
        <v>430</v>
      </c>
      <c r="D989" s="22" t="s">
        <v>424</v>
      </c>
      <c r="E989" s="22" t="s">
        <v>665</v>
      </c>
      <c r="F989" s="22" t="s">
        <v>79</v>
      </c>
      <c r="G989" s="156">
        <f>100</f>
        <v>100</v>
      </c>
      <c r="H989" s="156">
        <v>41.731999999999999</v>
      </c>
      <c r="I989" s="156">
        <f>100</f>
        <v>100</v>
      </c>
      <c r="J989" s="156">
        <f t="shared" si="218"/>
        <v>100</v>
      </c>
    </row>
    <row r="990" spans="1:10">
      <c r="A990" s="131" t="s">
        <v>80</v>
      </c>
      <c r="B990" s="211">
        <v>612</v>
      </c>
      <c r="C990" s="22" t="s">
        <v>430</v>
      </c>
      <c r="D990" s="22" t="s">
        <v>424</v>
      </c>
      <c r="E990" s="22" t="s">
        <v>665</v>
      </c>
      <c r="F990" s="22" t="s">
        <v>81</v>
      </c>
      <c r="G990" s="177">
        <f>G991</f>
        <v>5</v>
      </c>
      <c r="H990" s="330">
        <f>H991</f>
        <v>0</v>
      </c>
      <c r="I990" s="177">
        <f>I991</f>
        <v>5</v>
      </c>
      <c r="J990" s="177">
        <f t="shared" si="218"/>
        <v>100</v>
      </c>
    </row>
    <row r="991" spans="1:10">
      <c r="A991" s="131" t="s">
        <v>445</v>
      </c>
      <c r="B991" s="211">
        <v>612</v>
      </c>
      <c r="C991" s="22" t="s">
        <v>430</v>
      </c>
      <c r="D991" s="22" t="s">
        <v>424</v>
      </c>
      <c r="E991" s="22" t="s">
        <v>665</v>
      </c>
      <c r="F991" s="22" t="s">
        <v>82</v>
      </c>
      <c r="G991" s="177">
        <v>5</v>
      </c>
      <c r="H991" s="330">
        <v>0</v>
      </c>
      <c r="I991" s="177">
        <v>5</v>
      </c>
      <c r="J991" s="177">
        <f t="shared" si="218"/>
        <v>100</v>
      </c>
    </row>
    <row r="992" spans="1:10" ht="24">
      <c r="A992" s="240" t="s">
        <v>258</v>
      </c>
      <c r="B992" s="140" t="s">
        <v>119</v>
      </c>
      <c r="C992" s="140" t="s">
        <v>430</v>
      </c>
      <c r="D992" s="140" t="s">
        <v>424</v>
      </c>
      <c r="E992" s="140" t="s">
        <v>666</v>
      </c>
      <c r="F992" s="140"/>
      <c r="G992" s="175">
        <f>G993+G995</f>
        <v>1135</v>
      </c>
      <c r="H992" s="175">
        <f>H993+H995</f>
        <v>359.21769999999998</v>
      </c>
      <c r="I992" s="175">
        <f>I993+I995</f>
        <v>1135</v>
      </c>
      <c r="J992" s="175">
        <f t="shared" si="218"/>
        <v>100</v>
      </c>
    </row>
    <row r="993" spans="1:10" ht="36">
      <c r="A993" s="131" t="s">
        <v>72</v>
      </c>
      <c r="B993" s="211">
        <v>612</v>
      </c>
      <c r="C993" s="22" t="s">
        <v>430</v>
      </c>
      <c r="D993" s="22" t="s">
        <v>424</v>
      </c>
      <c r="E993" s="22" t="s">
        <v>666</v>
      </c>
      <c r="F993" s="22" t="s">
        <v>73</v>
      </c>
      <c r="G993" s="156">
        <f>G994</f>
        <v>135</v>
      </c>
      <c r="H993" s="156">
        <f>H994</f>
        <v>56.564999999999998</v>
      </c>
      <c r="I993" s="156">
        <f>I994</f>
        <v>135</v>
      </c>
      <c r="J993" s="156">
        <f t="shared" si="218"/>
        <v>100</v>
      </c>
    </row>
    <row r="994" spans="1:10">
      <c r="A994" s="131" t="s">
        <v>426</v>
      </c>
      <c r="B994" s="211">
        <v>612</v>
      </c>
      <c r="C994" s="22" t="s">
        <v>430</v>
      </c>
      <c r="D994" s="22" t="s">
        <v>424</v>
      </c>
      <c r="E994" s="22" t="s">
        <v>666</v>
      </c>
      <c r="F994" s="22" t="s">
        <v>427</v>
      </c>
      <c r="G994" s="156">
        <v>135</v>
      </c>
      <c r="H994" s="156">
        <v>56.564999999999998</v>
      </c>
      <c r="I994" s="156">
        <v>135</v>
      </c>
      <c r="J994" s="156">
        <f t="shared" ref="J994:J1057" si="223">I994/G994*100</f>
        <v>100</v>
      </c>
    </row>
    <row r="995" spans="1:10">
      <c r="A995" s="131" t="s">
        <v>486</v>
      </c>
      <c r="B995" s="211">
        <v>612</v>
      </c>
      <c r="C995" s="22" t="s">
        <v>430</v>
      </c>
      <c r="D995" s="22" t="s">
        <v>424</v>
      </c>
      <c r="E995" s="22" t="s">
        <v>666</v>
      </c>
      <c r="F995" s="22" t="s">
        <v>77</v>
      </c>
      <c r="G995" s="156">
        <f>G996</f>
        <v>1000</v>
      </c>
      <c r="H995" s="156">
        <f>H996</f>
        <v>302.65269999999998</v>
      </c>
      <c r="I995" s="156">
        <f>I996</f>
        <v>1000</v>
      </c>
      <c r="J995" s="156">
        <f t="shared" si="223"/>
        <v>100</v>
      </c>
    </row>
    <row r="996" spans="1:10">
      <c r="A996" s="131" t="s">
        <v>78</v>
      </c>
      <c r="B996" s="211">
        <v>612</v>
      </c>
      <c r="C996" s="22" t="s">
        <v>430</v>
      </c>
      <c r="D996" s="22" t="s">
        <v>424</v>
      </c>
      <c r="E996" s="22" t="s">
        <v>666</v>
      </c>
      <c r="F996" s="22" t="s">
        <v>79</v>
      </c>
      <c r="G996" s="156">
        <f>1000</f>
        <v>1000</v>
      </c>
      <c r="H996" s="156">
        <v>302.65269999999998</v>
      </c>
      <c r="I996" s="156">
        <f>1000</f>
        <v>1000</v>
      </c>
      <c r="J996" s="156">
        <f t="shared" si="223"/>
        <v>100</v>
      </c>
    </row>
    <row r="997" spans="1:10" ht="36">
      <c r="A997" s="240" t="s">
        <v>399</v>
      </c>
      <c r="B997" s="140" t="s">
        <v>119</v>
      </c>
      <c r="C997" s="140" t="s">
        <v>430</v>
      </c>
      <c r="D997" s="140" t="s">
        <v>424</v>
      </c>
      <c r="E997" s="140" t="s">
        <v>667</v>
      </c>
      <c r="F997" s="140"/>
      <c r="G997" s="175">
        <f>G998+G1000+G1002</f>
        <v>850</v>
      </c>
      <c r="H997" s="175">
        <f>H998+H1000+H1002</f>
        <v>290.13100000000003</v>
      </c>
      <c r="I997" s="175">
        <f>I998+I1000+I1002</f>
        <v>850</v>
      </c>
      <c r="J997" s="175">
        <f t="shared" si="223"/>
        <v>100</v>
      </c>
    </row>
    <row r="998" spans="1:10" ht="36">
      <c r="A998" s="131" t="s">
        <v>72</v>
      </c>
      <c r="B998" s="211">
        <v>612</v>
      </c>
      <c r="C998" s="22" t="s">
        <v>430</v>
      </c>
      <c r="D998" s="22" t="s">
        <v>424</v>
      </c>
      <c r="E998" s="22" t="s">
        <v>667</v>
      </c>
      <c r="F998" s="22" t="s">
        <v>73</v>
      </c>
      <c r="G998" s="156">
        <f>G999</f>
        <v>50</v>
      </c>
      <c r="H998" s="156">
        <f>H999</f>
        <v>29.196000000000002</v>
      </c>
      <c r="I998" s="156">
        <f>I999</f>
        <v>50</v>
      </c>
      <c r="J998" s="156">
        <f t="shared" si="223"/>
        <v>100</v>
      </c>
    </row>
    <row r="999" spans="1:10">
      <c r="A999" s="131" t="s">
        <v>426</v>
      </c>
      <c r="B999" s="211">
        <v>612</v>
      </c>
      <c r="C999" s="22" t="s">
        <v>430</v>
      </c>
      <c r="D999" s="22" t="s">
        <v>424</v>
      </c>
      <c r="E999" s="22" t="s">
        <v>667</v>
      </c>
      <c r="F999" s="22" t="s">
        <v>427</v>
      </c>
      <c r="G999" s="156">
        <v>50</v>
      </c>
      <c r="H999" s="156">
        <v>29.196000000000002</v>
      </c>
      <c r="I999" s="156">
        <v>50</v>
      </c>
      <c r="J999" s="156">
        <f t="shared" si="223"/>
        <v>100</v>
      </c>
    </row>
    <row r="1000" spans="1:10">
      <c r="A1000" s="131" t="s">
        <v>486</v>
      </c>
      <c r="B1000" s="211">
        <v>612</v>
      </c>
      <c r="C1000" s="22" t="s">
        <v>430</v>
      </c>
      <c r="D1000" s="22" t="s">
        <v>424</v>
      </c>
      <c r="E1000" s="22" t="s">
        <v>667</v>
      </c>
      <c r="F1000" s="22" t="s">
        <v>77</v>
      </c>
      <c r="G1000" s="156">
        <f>G1001</f>
        <v>650</v>
      </c>
      <c r="H1000" s="156">
        <f>H1001</f>
        <v>190.70500000000001</v>
      </c>
      <c r="I1000" s="156">
        <f>I1001</f>
        <v>650</v>
      </c>
      <c r="J1000" s="156">
        <f t="shared" si="223"/>
        <v>100</v>
      </c>
    </row>
    <row r="1001" spans="1:10">
      <c r="A1001" s="131" t="s">
        <v>78</v>
      </c>
      <c r="B1001" s="211">
        <v>612</v>
      </c>
      <c r="C1001" s="22" t="s">
        <v>430</v>
      </c>
      <c r="D1001" s="22" t="s">
        <v>424</v>
      </c>
      <c r="E1001" s="22" t="s">
        <v>667</v>
      </c>
      <c r="F1001" s="22" t="s">
        <v>79</v>
      </c>
      <c r="G1001" s="156">
        <f>150+500</f>
        <v>650</v>
      </c>
      <c r="H1001" s="156">
        <v>190.70500000000001</v>
      </c>
      <c r="I1001" s="156">
        <f>150+500</f>
        <v>650</v>
      </c>
      <c r="J1001" s="156">
        <f t="shared" si="223"/>
        <v>100</v>
      </c>
    </row>
    <row r="1002" spans="1:10">
      <c r="A1002" s="131" t="s">
        <v>88</v>
      </c>
      <c r="B1002" s="211">
        <v>612</v>
      </c>
      <c r="C1002" s="22" t="s">
        <v>430</v>
      </c>
      <c r="D1002" s="22" t="s">
        <v>424</v>
      </c>
      <c r="E1002" s="22" t="s">
        <v>667</v>
      </c>
      <c r="F1002" s="22" t="s">
        <v>87</v>
      </c>
      <c r="G1002" s="156">
        <f>G1003</f>
        <v>150</v>
      </c>
      <c r="H1002" s="156">
        <f>H1003</f>
        <v>70.23</v>
      </c>
      <c r="I1002" s="156">
        <f>I1003</f>
        <v>150</v>
      </c>
      <c r="J1002" s="156">
        <f t="shared" si="223"/>
        <v>100</v>
      </c>
    </row>
    <row r="1003" spans="1:10">
      <c r="A1003" s="131" t="s">
        <v>504</v>
      </c>
      <c r="B1003" s="211">
        <v>612</v>
      </c>
      <c r="C1003" s="22" t="s">
        <v>430</v>
      </c>
      <c r="D1003" s="22" t="s">
        <v>424</v>
      </c>
      <c r="E1003" s="22" t="s">
        <v>667</v>
      </c>
      <c r="F1003" s="22" t="s">
        <v>500</v>
      </c>
      <c r="G1003" s="156">
        <v>150</v>
      </c>
      <c r="H1003" s="156">
        <v>70.23</v>
      </c>
      <c r="I1003" s="156">
        <v>150</v>
      </c>
      <c r="J1003" s="156">
        <f t="shared" si="223"/>
        <v>100</v>
      </c>
    </row>
    <row r="1004" spans="1:10" ht="24">
      <c r="A1004" s="229" t="s">
        <v>503</v>
      </c>
      <c r="B1004" s="210">
        <v>612</v>
      </c>
      <c r="C1004" s="132" t="s">
        <v>430</v>
      </c>
      <c r="D1004" s="132" t="s">
        <v>424</v>
      </c>
      <c r="E1004" s="132" t="s">
        <v>149</v>
      </c>
      <c r="F1004" s="132"/>
      <c r="G1004" s="158">
        <f t="shared" ref="G1004:I1005" si="224">G1005</f>
        <v>11397.4</v>
      </c>
      <c r="H1004" s="158">
        <f t="shared" si="224"/>
        <v>8754.2698</v>
      </c>
      <c r="I1004" s="158">
        <f t="shared" si="224"/>
        <v>11397.4</v>
      </c>
      <c r="J1004" s="158">
        <f t="shared" si="223"/>
        <v>100</v>
      </c>
    </row>
    <row r="1005" spans="1:10">
      <c r="A1005" s="27" t="s">
        <v>153</v>
      </c>
      <c r="B1005" s="210">
        <v>612</v>
      </c>
      <c r="C1005" s="132" t="s">
        <v>430</v>
      </c>
      <c r="D1005" s="132" t="s">
        <v>424</v>
      </c>
      <c r="E1005" s="132" t="s">
        <v>149</v>
      </c>
      <c r="F1005" s="132"/>
      <c r="G1005" s="158">
        <f t="shared" si="224"/>
        <v>11397.4</v>
      </c>
      <c r="H1005" s="158">
        <f t="shared" si="224"/>
        <v>8754.2698</v>
      </c>
      <c r="I1005" s="158">
        <f t="shared" si="224"/>
        <v>11397.4</v>
      </c>
      <c r="J1005" s="158">
        <f t="shared" si="223"/>
        <v>100</v>
      </c>
    </row>
    <row r="1006" spans="1:10" ht="24">
      <c r="A1006" s="224" t="s">
        <v>364</v>
      </c>
      <c r="B1006" s="140" t="s">
        <v>119</v>
      </c>
      <c r="C1006" s="140" t="s">
        <v>430</v>
      </c>
      <c r="D1006" s="140" t="s">
        <v>424</v>
      </c>
      <c r="E1006" s="140" t="s">
        <v>149</v>
      </c>
      <c r="F1006" s="140"/>
      <c r="G1006" s="175">
        <f>G1007+G1010</f>
        <v>11397.4</v>
      </c>
      <c r="H1006" s="175">
        <f>H1007+H1010</f>
        <v>8754.2698</v>
      </c>
      <c r="I1006" s="175">
        <f>I1007+I1010</f>
        <v>11397.4</v>
      </c>
      <c r="J1006" s="175">
        <f t="shared" si="223"/>
        <v>100</v>
      </c>
    </row>
    <row r="1007" spans="1:10">
      <c r="A1007" s="212" t="s">
        <v>347</v>
      </c>
      <c r="B1007" s="132" t="s">
        <v>119</v>
      </c>
      <c r="C1007" s="132" t="s">
        <v>430</v>
      </c>
      <c r="D1007" s="132" t="s">
        <v>424</v>
      </c>
      <c r="E1007" s="132" t="s">
        <v>262</v>
      </c>
      <c r="F1007" s="132"/>
      <c r="G1007" s="158">
        <f t="shared" ref="G1007:I1008" si="225">G1008</f>
        <v>10660.4</v>
      </c>
      <c r="H1007" s="158">
        <f t="shared" si="225"/>
        <v>8138.7560899999999</v>
      </c>
      <c r="I1007" s="158">
        <f t="shared" si="225"/>
        <v>10660.4</v>
      </c>
      <c r="J1007" s="158">
        <f t="shared" si="223"/>
        <v>100</v>
      </c>
    </row>
    <row r="1008" spans="1:10" ht="36">
      <c r="A1008" s="131" t="s">
        <v>72</v>
      </c>
      <c r="B1008" s="22" t="s">
        <v>119</v>
      </c>
      <c r="C1008" s="22" t="s">
        <v>430</v>
      </c>
      <c r="D1008" s="22" t="s">
        <v>424</v>
      </c>
      <c r="E1008" s="22" t="s">
        <v>262</v>
      </c>
      <c r="F1008" s="22" t="s">
        <v>73</v>
      </c>
      <c r="G1008" s="156">
        <f t="shared" si="225"/>
        <v>10660.4</v>
      </c>
      <c r="H1008" s="156">
        <f t="shared" si="225"/>
        <v>8138.7560899999999</v>
      </c>
      <c r="I1008" s="156">
        <f t="shared" si="225"/>
        <v>10660.4</v>
      </c>
      <c r="J1008" s="156">
        <f t="shared" si="223"/>
        <v>100</v>
      </c>
    </row>
    <row r="1009" spans="1:10">
      <c r="A1009" s="131" t="s">
        <v>74</v>
      </c>
      <c r="B1009" s="22" t="s">
        <v>119</v>
      </c>
      <c r="C1009" s="22" t="s">
        <v>430</v>
      </c>
      <c r="D1009" s="22" t="s">
        <v>424</v>
      </c>
      <c r="E1009" s="22" t="s">
        <v>262</v>
      </c>
      <c r="F1009" s="22" t="s">
        <v>75</v>
      </c>
      <c r="G1009" s="156">
        <f>7955+45+2400+200+60.4</f>
        <v>10660.4</v>
      </c>
      <c r="H1009" s="156">
        <v>8138.7560899999999</v>
      </c>
      <c r="I1009" s="156">
        <f>7955+45+2400+200+60.4</f>
        <v>10660.4</v>
      </c>
      <c r="J1009" s="156">
        <f t="shared" si="223"/>
        <v>100</v>
      </c>
    </row>
    <row r="1010" spans="1:10">
      <c r="A1010" s="133" t="s">
        <v>76</v>
      </c>
      <c r="B1010" s="132" t="s">
        <v>119</v>
      </c>
      <c r="C1010" s="132" t="s">
        <v>430</v>
      </c>
      <c r="D1010" s="132" t="s">
        <v>424</v>
      </c>
      <c r="E1010" s="132" t="s">
        <v>263</v>
      </c>
      <c r="F1010" s="132"/>
      <c r="G1010" s="158">
        <f>G1011+G1013</f>
        <v>737</v>
      </c>
      <c r="H1010" s="158">
        <f>H1011+H1013</f>
        <v>615.51370999999995</v>
      </c>
      <c r="I1010" s="158">
        <f>I1011+I1013</f>
        <v>737</v>
      </c>
      <c r="J1010" s="158">
        <f t="shared" si="223"/>
        <v>100</v>
      </c>
    </row>
    <row r="1011" spans="1:10">
      <c r="A1011" s="131" t="s">
        <v>486</v>
      </c>
      <c r="B1011" s="22" t="s">
        <v>119</v>
      </c>
      <c r="C1011" s="22" t="s">
        <v>430</v>
      </c>
      <c r="D1011" s="22" t="s">
        <v>424</v>
      </c>
      <c r="E1011" s="22" t="s">
        <v>263</v>
      </c>
      <c r="F1011" s="22" t="s">
        <v>77</v>
      </c>
      <c r="G1011" s="156">
        <f>G1012</f>
        <v>722</v>
      </c>
      <c r="H1011" s="156">
        <f>H1012</f>
        <v>615.51370999999995</v>
      </c>
      <c r="I1011" s="156">
        <f>I1012</f>
        <v>722</v>
      </c>
      <c r="J1011" s="156">
        <f t="shared" si="223"/>
        <v>100</v>
      </c>
    </row>
    <row r="1012" spans="1:10">
      <c r="A1012" s="131" t="s">
        <v>78</v>
      </c>
      <c r="B1012" s="22" t="s">
        <v>119</v>
      </c>
      <c r="C1012" s="22" t="s">
        <v>430</v>
      </c>
      <c r="D1012" s="22" t="s">
        <v>424</v>
      </c>
      <c r="E1012" s="22" t="s">
        <v>263</v>
      </c>
      <c r="F1012" s="22" t="s">
        <v>79</v>
      </c>
      <c r="G1012" s="156">
        <f>487+235</f>
        <v>722</v>
      </c>
      <c r="H1012" s="156">
        <v>615.51370999999995</v>
      </c>
      <c r="I1012" s="156">
        <f>487+235</f>
        <v>722</v>
      </c>
      <c r="J1012" s="156">
        <f t="shared" si="223"/>
        <v>100</v>
      </c>
    </row>
    <row r="1013" spans="1:10">
      <c r="A1013" s="131" t="s">
        <v>80</v>
      </c>
      <c r="B1013" s="22" t="s">
        <v>119</v>
      </c>
      <c r="C1013" s="22" t="s">
        <v>430</v>
      </c>
      <c r="D1013" s="22" t="s">
        <v>424</v>
      </c>
      <c r="E1013" s="22" t="s">
        <v>263</v>
      </c>
      <c r="F1013" s="22" t="s">
        <v>81</v>
      </c>
      <c r="G1013" s="156">
        <f>G1014</f>
        <v>15</v>
      </c>
      <c r="H1013" s="323">
        <f>H1014</f>
        <v>0</v>
      </c>
      <c r="I1013" s="156">
        <f>I1014</f>
        <v>15</v>
      </c>
      <c r="J1013" s="156">
        <f t="shared" si="223"/>
        <v>100</v>
      </c>
    </row>
    <row r="1014" spans="1:10">
      <c r="A1014" s="131" t="s">
        <v>445</v>
      </c>
      <c r="B1014" s="22" t="s">
        <v>119</v>
      </c>
      <c r="C1014" s="22" t="s">
        <v>430</v>
      </c>
      <c r="D1014" s="22" t="s">
        <v>424</v>
      </c>
      <c r="E1014" s="22" t="s">
        <v>263</v>
      </c>
      <c r="F1014" s="22" t="s">
        <v>82</v>
      </c>
      <c r="G1014" s="156">
        <v>15</v>
      </c>
      <c r="H1014" s="323">
        <v>0</v>
      </c>
      <c r="I1014" s="156">
        <v>15</v>
      </c>
      <c r="J1014" s="156">
        <f t="shared" si="223"/>
        <v>100</v>
      </c>
    </row>
    <row r="1015" spans="1:10">
      <c r="A1015" s="173" t="s">
        <v>67</v>
      </c>
      <c r="B1015" s="140" t="s">
        <v>119</v>
      </c>
      <c r="C1015" s="140" t="s">
        <v>430</v>
      </c>
      <c r="D1015" s="140" t="s">
        <v>424</v>
      </c>
      <c r="E1015" s="140" t="s">
        <v>187</v>
      </c>
      <c r="F1015" s="140"/>
      <c r="G1015" s="175">
        <f t="shared" ref="G1015:I1017" si="226">G1016</f>
        <v>1256.3960000000002</v>
      </c>
      <c r="H1015" s="175">
        <f t="shared" si="226"/>
        <v>1256.39599</v>
      </c>
      <c r="I1015" s="175">
        <f t="shared" si="226"/>
        <v>1256.3960000000002</v>
      </c>
      <c r="J1015" s="175">
        <f t="shared" si="223"/>
        <v>100</v>
      </c>
    </row>
    <row r="1016" spans="1:10">
      <c r="A1016" s="212" t="s">
        <v>272</v>
      </c>
      <c r="B1016" s="132" t="s">
        <v>119</v>
      </c>
      <c r="C1016" s="132" t="s">
        <v>430</v>
      </c>
      <c r="D1016" s="132" t="s">
        <v>424</v>
      </c>
      <c r="E1016" s="132" t="s">
        <v>188</v>
      </c>
      <c r="F1016" s="132"/>
      <c r="G1016" s="158">
        <f>G1017+G1021</f>
        <v>1256.3960000000002</v>
      </c>
      <c r="H1016" s="158">
        <f>H1017+H1021</f>
        <v>1256.39599</v>
      </c>
      <c r="I1016" s="158">
        <f>I1017+I1021</f>
        <v>1256.3960000000002</v>
      </c>
      <c r="J1016" s="158">
        <f t="shared" si="223"/>
        <v>100</v>
      </c>
    </row>
    <row r="1017" spans="1:10" ht="24">
      <c r="A1017" s="173" t="s">
        <v>756</v>
      </c>
      <c r="B1017" s="140" t="s">
        <v>119</v>
      </c>
      <c r="C1017" s="140" t="s">
        <v>430</v>
      </c>
      <c r="D1017" s="140" t="s">
        <v>424</v>
      </c>
      <c r="E1017" s="140" t="s">
        <v>757</v>
      </c>
      <c r="F1017" s="140"/>
      <c r="G1017" s="175">
        <f t="shared" si="226"/>
        <v>915.68000000000006</v>
      </c>
      <c r="H1017" s="175">
        <f t="shared" si="226"/>
        <v>915.68000000000006</v>
      </c>
      <c r="I1017" s="175">
        <f t="shared" si="226"/>
        <v>915.68000000000006</v>
      </c>
      <c r="J1017" s="175">
        <f t="shared" si="223"/>
        <v>100</v>
      </c>
    </row>
    <row r="1018" spans="1:10">
      <c r="A1018" s="131" t="s">
        <v>94</v>
      </c>
      <c r="B1018" s="22" t="s">
        <v>119</v>
      </c>
      <c r="C1018" s="22" t="s">
        <v>430</v>
      </c>
      <c r="D1018" s="22" t="s">
        <v>424</v>
      </c>
      <c r="E1018" s="22" t="s">
        <v>757</v>
      </c>
      <c r="F1018" s="22" t="s">
        <v>362</v>
      </c>
      <c r="G1018" s="156">
        <f>G1019+G1020</f>
        <v>915.68000000000006</v>
      </c>
      <c r="H1018" s="156">
        <f>H1019+H1020</f>
        <v>915.68000000000006</v>
      </c>
      <c r="I1018" s="156">
        <f>I1019+I1020</f>
        <v>915.68000000000006</v>
      </c>
      <c r="J1018" s="156">
        <f t="shared" si="223"/>
        <v>100</v>
      </c>
    </row>
    <row r="1019" spans="1:10">
      <c r="A1019" s="131" t="s">
        <v>95</v>
      </c>
      <c r="B1019" s="22" t="s">
        <v>119</v>
      </c>
      <c r="C1019" s="22" t="s">
        <v>430</v>
      </c>
      <c r="D1019" s="22" t="s">
        <v>424</v>
      </c>
      <c r="E1019" s="22" t="s">
        <v>757</v>
      </c>
      <c r="F1019" s="22" t="s">
        <v>371</v>
      </c>
      <c r="G1019" s="156">
        <v>861.36</v>
      </c>
      <c r="H1019" s="156">
        <v>861.36</v>
      </c>
      <c r="I1019" s="156">
        <v>861.36</v>
      </c>
      <c r="J1019" s="156">
        <f t="shared" si="223"/>
        <v>100</v>
      </c>
    </row>
    <row r="1020" spans="1:10" ht="16.5" customHeight="1">
      <c r="A1020" s="131" t="s">
        <v>447</v>
      </c>
      <c r="B1020" s="22" t="s">
        <v>119</v>
      </c>
      <c r="C1020" s="22" t="s">
        <v>430</v>
      </c>
      <c r="D1020" s="22" t="s">
        <v>424</v>
      </c>
      <c r="E1020" s="22" t="s">
        <v>757</v>
      </c>
      <c r="F1020" s="22" t="s">
        <v>448</v>
      </c>
      <c r="G1020" s="156">
        <v>54.32</v>
      </c>
      <c r="H1020" s="156">
        <v>54.32</v>
      </c>
      <c r="I1020" s="156">
        <v>54.32</v>
      </c>
      <c r="J1020" s="156">
        <f t="shared" si="223"/>
        <v>100</v>
      </c>
    </row>
    <row r="1021" spans="1:10">
      <c r="A1021" s="133" t="s">
        <v>774</v>
      </c>
      <c r="B1021" s="132" t="s">
        <v>119</v>
      </c>
      <c r="C1021" s="132" t="s">
        <v>430</v>
      </c>
      <c r="D1021" s="132" t="s">
        <v>424</v>
      </c>
      <c r="E1021" s="132" t="s">
        <v>769</v>
      </c>
      <c r="F1021" s="132"/>
      <c r="G1021" s="158">
        <f t="shared" ref="G1021:I1022" si="227">G1022</f>
        <v>340.71600000000001</v>
      </c>
      <c r="H1021" s="158">
        <f t="shared" si="227"/>
        <v>340.71598999999998</v>
      </c>
      <c r="I1021" s="158">
        <f t="shared" si="227"/>
        <v>340.71600000000001</v>
      </c>
      <c r="J1021" s="158">
        <f t="shared" si="223"/>
        <v>100</v>
      </c>
    </row>
    <row r="1022" spans="1:10" ht="36">
      <c r="A1022" s="131" t="s">
        <v>72</v>
      </c>
      <c r="B1022" s="22" t="s">
        <v>119</v>
      </c>
      <c r="C1022" s="22" t="s">
        <v>430</v>
      </c>
      <c r="D1022" s="22" t="s">
        <v>424</v>
      </c>
      <c r="E1022" s="22" t="s">
        <v>769</v>
      </c>
      <c r="F1022" s="22" t="s">
        <v>73</v>
      </c>
      <c r="G1022" s="156">
        <f t="shared" si="227"/>
        <v>340.71600000000001</v>
      </c>
      <c r="H1022" s="156">
        <f t="shared" si="227"/>
        <v>340.71598999999998</v>
      </c>
      <c r="I1022" s="156">
        <f t="shared" si="227"/>
        <v>340.71600000000001</v>
      </c>
      <c r="J1022" s="156">
        <f t="shared" si="223"/>
        <v>100</v>
      </c>
    </row>
    <row r="1023" spans="1:10">
      <c r="A1023" s="131" t="s">
        <v>74</v>
      </c>
      <c r="B1023" s="22" t="s">
        <v>119</v>
      </c>
      <c r="C1023" s="22" t="s">
        <v>430</v>
      </c>
      <c r="D1023" s="22" t="s">
        <v>424</v>
      </c>
      <c r="E1023" s="22" t="s">
        <v>769</v>
      </c>
      <c r="F1023" s="22" t="s">
        <v>75</v>
      </c>
      <c r="G1023" s="156">
        <v>340.71600000000001</v>
      </c>
      <c r="H1023" s="156">
        <v>340.71598999999998</v>
      </c>
      <c r="I1023" s="156">
        <v>340.71600000000001</v>
      </c>
      <c r="J1023" s="156">
        <f t="shared" si="223"/>
        <v>100</v>
      </c>
    </row>
    <row r="1024" spans="1:10">
      <c r="A1024" s="133" t="s">
        <v>360</v>
      </c>
      <c r="B1024" s="132" t="s">
        <v>119</v>
      </c>
      <c r="C1024" s="132" t="s">
        <v>446</v>
      </c>
      <c r="D1024" s="132" t="s">
        <v>70</v>
      </c>
      <c r="E1024" s="132"/>
      <c r="F1024" s="132"/>
      <c r="G1024" s="158">
        <f>G1025+G1035</f>
        <v>32063.491999999998</v>
      </c>
      <c r="H1024" s="158">
        <f>H1025+H1035</f>
        <v>25001.211139999999</v>
      </c>
      <c r="I1024" s="158">
        <f>I1025+I1035</f>
        <v>32063.491999999998</v>
      </c>
      <c r="J1024" s="158">
        <f t="shared" si="223"/>
        <v>100</v>
      </c>
    </row>
    <row r="1025" spans="1:10">
      <c r="A1025" s="133" t="s">
        <v>349</v>
      </c>
      <c r="B1025" s="132" t="s">
        <v>119</v>
      </c>
      <c r="C1025" s="132" t="s">
        <v>446</v>
      </c>
      <c r="D1025" s="132" t="s">
        <v>423</v>
      </c>
      <c r="E1025" s="132"/>
      <c r="F1025" s="132"/>
      <c r="G1025" s="158">
        <f t="shared" ref="G1025:I1026" si="228">G1026</f>
        <v>12962.192000000001</v>
      </c>
      <c r="H1025" s="158">
        <f t="shared" si="228"/>
        <v>10964.583999999999</v>
      </c>
      <c r="I1025" s="158">
        <f t="shared" si="228"/>
        <v>12962.192000000001</v>
      </c>
      <c r="J1025" s="158">
        <f t="shared" si="223"/>
        <v>100</v>
      </c>
    </row>
    <row r="1026" spans="1:10" ht="13.5">
      <c r="A1026" s="174" t="s">
        <v>673</v>
      </c>
      <c r="B1026" s="144" t="s">
        <v>119</v>
      </c>
      <c r="C1026" s="144" t="s">
        <v>446</v>
      </c>
      <c r="D1026" s="144" t="s">
        <v>423</v>
      </c>
      <c r="E1026" s="144" t="s">
        <v>139</v>
      </c>
      <c r="F1026" s="144"/>
      <c r="G1026" s="218">
        <f t="shared" si="228"/>
        <v>12962.192000000001</v>
      </c>
      <c r="H1026" s="218">
        <f t="shared" si="228"/>
        <v>10964.583999999999</v>
      </c>
      <c r="I1026" s="218">
        <f t="shared" si="228"/>
        <v>12962.192000000001</v>
      </c>
      <c r="J1026" s="218">
        <f t="shared" si="223"/>
        <v>100</v>
      </c>
    </row>
    <row r="1027" spans="1:10">
      <c r="A1027" s="133" t="s">
        <v>259</v>
      </c>
      <c r="B1027" s="132" t="s">
        <v>119</v>
      </c>
      <c r="C1027" s="132" t="s">
        <v>446</v>
      </c>
      <c r="D1027" s="132" t="s">
        <v>423</v>
      </c>
      <c r="E1027" s="132" t="s">
        <v>148</v>
      </c>
      <c r="F1027" s="132"/>
      <c r="G1027" s="158">
        <f>G1028+G1032</f>
        <v>12962.192000000001</v>
      </c>
      <c r="H1027" s="158">
        <f>H1028+H1032</f>
        <v>10964.583999999999</v>
      </c>
      <c r="I1027" s="158">
        <f>I1028+I1032</f>
        <v>12962.192000000001</v>
      </c>
      <c r="J1027" s="158">
        <f t="shared" si="223"/>
        <v>100</v>
      </c>
    </row>
    <row r="1028" spans="1:10" ht="36">
      <c r="A1028" s="224" t="s">
        <v>126</v>
      </c>
      <c r="B1028" s="140" t="s">
        <v>119</v>
      </c>
      <c r="C1028" s="140" t="s">
        <v>446</v>
      </c>
      <c r="D1028" s="140" t="s">
        <v>423</v>
      </c>
      <c r="E1028" s="140" t="s">
        <v>261</v>
      </c>
      <c r="F1028" s="140"/>
      <c r="G1028" s="175">
        <f t="shared" ref="G1028:I1028" si="229">G1029</f>
        <v>12322.192000000001</v>
      </c>
      <c r="H1028" s="175">
        <f t="shared" si="229"/>
        <v>10324.583999999999</v>
      </c>
      <c r="I1028" s="175">
        <f t="shared" si="229"/>
        <v>12322.192000000001</v>
      </c>
      <c r="J1028" s="175">
        <f t="shared" si="223"/>
        <v>100</v>
      </c>
    </row>
    <row r="1029" spans="1:10">
      <c r="A1029" s="131" t="s">
        <v>94</v>
      </c>
      <c r="B1029" s="22" t="s">
        <v>119</v>
      </c>
      <c r="C1029" s="22" t="s">
        <v>446</v>
      </c>
      <c r="D1029" s="22" t="s">
        <v>423</v>
      </c>
      <c r="E1029" s="22" t="s">
        <v>261</v>
      </c>
      <c r="F1029" s="22" t="s">
        <v>362</v>
      </c>
      <c r="G1029" s="156">
        <f>G1030+G1031</f>
        <v>12322.192000000001</v>
      </c>
      <c r="H1029" s="156">
        <f>H1030+H1031</f>
        <v>10324.583999999999</v>
      </c>
      <c r="I1029" s="156">
        <f>I1030+I1031</f>
        <v>12322.192000000001</v>
      </c>
      <c r="J1029" s="156">
        <f t="shared" si="223"/>
        <v>100</v>
      </c>
    </row>
    <row r="1030" spans="1:10">
      <c r="A1030" s="131" t="s">
        <v>95</v>
      </c>
      <c r="B1030" s="22" t="s">
        <v>119</v>
      </c>
      <c r="C1030" s="22" t="s">
        <v>446</v>
      </c>
      <c r="D1030" s="22" t="s">
        <v>423</v>
      </c>
      <c r="E1030" s="22" t="s">
        <v>261</v>
      </c>
      <c r="F1030" s="22" t="s">
        <v>371</v>
      </c>
      <c r="G1030" s="156">
        <f>5139.7-0.044+6625.256</f>
        <v>11764.912</v>
      </c>
      <c r="H1030" s="156">
        <v>9858.0239999999994</v>
      </c>
      <c r="I1030" s="156">
        <f>5139.7-0.044+6625.256</f>
        <v>11764.912</v>
      </c>
      <c r="J1030" s="156">
        <f t="shared" si="223"/>
        <v>100</v>
      </c>
    </row>
    <row r="1031" spans="1:10">
      <c r="A1031" s="131" t="s">
        <v>447</v>
      </c>
      <c r="B1031" s="22" t="s">
        <v>119</v>
      </c>
      <c r="C1031" s="22" t="s">
        <v>446</v>
      </c>
      <c r="D1031" s="22" t="s">
        <v>423</v>
      </c>
      <c r="E1031" s="22" t="s">
        <v>261</v>
      </c>
      <c r="F1031" s="22" t="s">
        <v>448</v>
      </c>
      <c r="G1031" s="156">
        <v>557.28</v>
      </c>
      <c r="H1031" s="156">
        <v>466.56</v>
      </c>
      <c r="I1031" s="156">
        <v>557.28</v>
      </c>
      <c r="J1031" s="156">
        <f t="shared" si="223"/>
        <v>100</v>
      </c>
    </row>
    <row r="1032" spans="1:10" ht="24">
      <c r="A1032" s="240" t="s">
        <v>154</v>
      </c>
      <c r="B1032" s="140" t="s">
        <v>119</v>
      </c>
      <c r="C1032" s="140" t="s">
        <v>446</v>
      </c>
      <c r="D1032" s="140" t="s">
        <v>423</v>
      </c>
      <c r="E1032" s="140" t="s">
        <v>668</v>
      </c>
      <c r="F1032" s="140"/>
      <c r="G1032" s="175">
        <f t="shared" ref="G1032:I1033" si="230">G1033</f>
        <v>640</v>
      </c>
      <c r="H1032" s="175">
        <f t="shared" si="230"/>
        <v>640</v>
      </c>
      <c r="I1032" s="175">
        <f t="shared" si="230"/>
        <v>640</v>
      </c>
      <c r="J1032" s="175">
        <f t="shared" si="223"/>
        <v>100</v>
      </c>
    </row>
    <row r="1033" spans="1:10">
      <c r="A1033" s="131" t="s">
        <v>88</v>
      </c>
      <c r="B1033" s="211">
        <v>612</v>
      </c>
      <c r="C1033" s="22" t="s">
        <v>446</v>
      </c>
      <c r="D1033" s="22" t="s">
        <v>423</v>
      </c>
      <c r="E1033" s="22" t="s">
        <v>668</v>
      </c>
      <c r="F1033" s="22" t="s">
        <v>87</v>
      </c>
      <c r="G1033" s="156">
        <f t="shared" si="230"/>
        <v>640</v>
      </c>
      <c r="H1033" s="156">
        <f t="shared" si="230"/>
        <v>640</v>
      </c>
      <c r="I1033" s="156">
        <f t="shared" si="230"/>
        <v>640</v>
      </c>
      <c r="J1033" s="156">
        <f t="shared" si="223"/>
        <v>100</v>
      </c>
    </row>
    <row r="1034" spans="1:10">
      <c r="A1034" s="131" t="s">
        <v>89</v>
      </c>
      <c r="B1034" s="211">
        <v>612</v>
      </c>
      <c r="C1034" s="22" t="s">
        <v>446</v>
      </c>
      <c r="D1034" s="22" t="s">
        <v>423</v>
      </c>
      <c r="E1034" s="22" t="s">
        <v>668</v>
      </c>
      <c r="F1034" s="22" t="s">
        <v>90</v>
      </c>
      <c r="G1034" s="156">
        <v>640</v>
      </c>
      <c r="H1034" s="156">
        <v>640</v>
      </c>
      <c r="I1034" s="156">
        <v>640</v>
      </c>
      <c r="J1034" s="156">
        <f t="shared" si="223"/>
        <v>100</v>
      </c>
    </row>
    <row r="1035" spans="1:10">
      <c r="A1035" s="133" t="s">
        <v>350</v>
      </c>
      <c r="B1035" s="132" t="s">
        <v>119</v>
      </c>
      <c r="C1035" s="132" t="s">
        <v>446</v>
      </c>
      <c r="D1035" s="132" t="s">
        <v>71</v>
      </c>
      <c r="E1035" s="132"/>
      <c r="F1035" s="132"/>
      <c r="G1035" s="158">
        <f t="shared" ref="G1035:I1039" si="231">G1036</f>
        <v>19101.3</v>
      </c>
      <c r="H1035" s="158">
        <f t="shared" si="231"/>
        <v>14036.627140000001</v>
      </c>
      <c r="I1035" s="158">
        <f t="shared" si="231"/>
        <v>19101.3</v>
      </c>
      <c r="J1035" s="158">
        <f t="shared" si="223"/>
        <v>100</v>
      </c>
    </row>
    <row r="1036" spans="1:10" ht="13.5">
      <c r="A1036" s="174" t="s">
        <v>673</v>
      </c>
      <c r="B1036" s="144" t="s">
        <v>119</v>
      </c>
      <c r="C1036" s="144" t="s">
        <v>446</v>
      </c>
      <c r="D1036" s="144" t="s">
        <v>71</v>
      </c>
      <c r="E1036" s="144" t="s">
        <v>139</v>
      </c>
      <c r="F1036" s="140"/>
      <c r="G1036" s="218">
        <f t="shared" si="231"/>
        <v>19101.3</v>
      </c>
      <c r="H1036" s="218">
        <f t="shared" si="231"/>
        <v>14036.627140000001</v>
      </c>
      <c r="I1036" s="218">
        <f t="shared" si="231"/>
        <v>19101.3</v>
      </c>
      <c r="J1036" s="218">
        <f t="shared" si="223"/>
        <v>100</v>
      </c>
    </row>
    <row r="1037" spans="1:10">
      <c r="A1037" s="133" t="s">
        <v>259</v>
      </c>
      <c r="B1037" s="132" t="s">
        <v>119</v>
      </c>
      <c r="C1037" s="132" t="s">
        <v>446</v>
      </c>
      <c r="D1037" s="132" t="s">
        <v>71</v>
      </c>
      <c r="E1037" s="132" t="s">
        <v>148</v>
      </c>
      <c r="F1037" s="132"/>
      <c r="G1037" s="158">
        <f t="shared" si="231"/>
        <v>19101.3</v>
      </c>
      <c r="H1037" s="158">
        <f t="shared" si="231"/>
        <v>14036.627140000001</v>
      </c>
      <c r="I1037" s="158">
        <f t="shared" si="231"/>
        <v>19101.3</v>
      </c>
      <c r="J1037" s="158">
        <f t="shared" si="223"/>
        <v>100</v>
      </c>
    </row>
    <row r="1038" spans="1:10" ht="36">
      <c r="A1038" s="256" t="s">
        <v>739</v>
      </c>
      <c r="B1038" s="148" t="s">
        <v>119</v>
      </c>
      <c r="C1038" s="148" t="s">
        <v>446</v>
      </c>
      <c r="D1038" s="148" t="s">
        <v>71</v>
      </c>
      <c r="E1038" s="148" t="s">
        <v>260</v>
      </c>
      <c r="F1038" s="148"/>
      <c r="G1038" s="178">
        <f t="shared" si="231"/>
        <v>19101.3</v>
      </c>
      <c r="H1038" s="178">
        <f t="shared" si="231"/>
        <v>14036.627140000001</v>
      </c>
      <c r="I1038" s="178">
        <f t="shared" si="231"/>
        <v>19101.3</v>
      </c>
      <c r="J1038" s="178">
        <f t="shared" si="223"/>
        <v>100</v>
      </c>
    </row>
    <row r="1039" spans="1:10">
      <c r="A1039" s="131" t="s">
        <v>88</v>
      </c>
      <c r="B1039" s="22" t="s">
        <v>119</v>
      </c>
      <c r="C1039" s="22" t="s">
        <v>446</v>
      </c>
      <c r="D1039" s="22" t="s">
        <v>71</v>
      </c>
      <c r="E1039" s="22" t="s">
        <v>260</v>
      </c>
      <c r="F1039" s="22" t="s">
        <v>87</v>
      </c>
      <c r="G1039" s="156">
        <f t="shared" si="231"/>
        <v>19101.3</v>
      </c>
      <c r="H1039" s="156">
        <f t="shared" si="231"/>
        <v>14036.627140000001</v>
      </c>
      <c r="I1039" s="156">
        <f t="shared" si="231"/>
        <v>19101.3</v>
      </c>
      <c r="J1039" s="156">
        <f t="shared" si="223"/>
        <v>100</v>
      </c>
    </row>
    <row r="1040" spans="1:10">
      <c r="A1040" s="131" t="s">
        <v>138</v>
      </c>
      <c r="B1040" s="22" t="s">
        <v>119</v>
      </c>
      <c r="C1040" s="22" t="s">
        <v>446</v>
      </c>
      <c r="D1040" s="22" t="s">
        <v>71</v>
      </c>
      <c r="E1040" s="22" t="s">
        <v>260</v>
      </c>
      <c r="F1040" s="22" t="s">
        <v>449</v>
      </c>
      <c r="G1040" s="156">
        <f>16500+2601.3</f>
        <v>19101.3</v>
      </c>
      <c r="H1040" s="156">
        <v>14036.627140000001</v>
      </c>
      <c r="I1040" s="156">
        <f>16500+2601.3</f>
        <v>19101.3</v>
      </c>
      <c r="J1040" s="156">
        <f t="shared" si="223"/>
        <v>100</v>
      </c>
    </row>
    <row r="1041" spans="1:10" ht="15.75">
      <c r="A1041" s="213" t="s">
        <v>404</v>
      </c>
      <c r="B1041" s="214" t="s">
        <v>405</v>
      </c>
      <c r="C1041" s="214"/>
      <c r="D1041" s="214"/>
      <c r="E1041" s="214"/>
      <c r="F1041" s="214"/>
      <c r="G1041" s="215">
        <f>G1042</f>
        <v>35803.300000000003</v>
      </c>
      <c r="H1041" s="215">
        <f t="shared" ref="H1041:I1041" si="232">H1042</f>
        <v>25128.52089</v>
      </c>
      <c r="I1041" s="215">
        <f t="shared" si="232"/>
        <v>35803.300000000003</v>
      </c>
      <c r="J1041" s="215">
        <f t="shared" si="223"/>
        <v>100</v>
      </c>
    </row>
    <row r="1042" spans="1:10">
      <c r="A1042" s="133" t="s">
        <v>103</v>
      </c>
      <c r="B1042" s="132" t="s">
        <v>405</v>
      </c>
      <c r="C1042" s="132" t="s">
        <v>69</v>
      </c>
      <c r="D1042" s="132" t="s">
        <v>70</v>
      </c>
      <c r="E1042" s="132"/>
      <c r="F1042" s="132"/>
      <c r="G1042" s="158">
        <f>G1043+G1053+G1064</f>
        <v>35803.300000000003</v>
      </c>
      <c r="H1042" s="158">
        <f t="shared" ref="H1042:I1042" si="233">H1043+H1053+H1064</f>
        <v>25128.52089</v>
      </c>
      <c r="I1042" s="158">
        <f t="shared" si="233"/>
        <v>35803.300000000003</v>
      </c>
      <c r="J1042" s="158">
        <f t="shared" si="223"/>
        <v>100</v>
      </c>
    </row>
    <row r="1043" spans="1:10" ht="24">
      <c r="A1043" s="133" t="s">
        <v>406</v>
      </c>
      <c r="B1043" s="132" t="s">
        <v>405</v>
      </c>
      <c r="C1043" s="132" t="s">
        <v>69</v>
      </c>
      <c r="D1043" s="132" t="s">
        <v>431</v>
      </c>
      <c r="E1043" s="132"/>
      <c r="F1043" s="132"/>
      <c r="G1043" s="158">
        <f>G1044+G1050</f>
        <v>2477.3000000000002</v>
      </c>
      <c r="H1043" s="158">
        <f t="shared" ref="H1043:I1043" si="234">H1044+H1050</f>
        <v>1591.2740799999999</v>
      </c>
      <c r="I1043" s="158">
        <f t="shared" si="234"/>
        <v>2477.3000000000002</v>
      </c>
      <c r="J1043" s="158">
        <f t="shared" si="223"/>
        <v>100</v>
      </c>
    </row>
    <row r="1044" spans="1:10">
      <c r="A1044" s="224" t="s">
        <v>34</v>
      </c>
      <c r="B1044" s="140" t="s">
        <v>405</v>
      </c>
      <c r="C1044" s="140" t="s">
        <v>69</v>
      </c>
      <c r="D1044" s="140" t="s">
        <v>431</v>
      </c>
      <c r="E1044" s="140" t="s">
        <v>193</v>
      </c>
      <c r="F1044" s="140"/>
      <c r="G1044" s="175">
        <f t="shared" ref="G1044:I1048" si="235">G1045</f>
        <v>2282</v>
      </c>
      <c r="H1044" s="175">
        <f t="shared" si="235"/>
        <v>1591.2740799999999</v>
      </c>
      <c r="I1044" s="175">
        <f t="shared" si="235"/>
        <v>2282</v>
      </c>
      <c r="J1044" s="175">
        <f t="shared" si="223"/>
        <v>100</v>
      </c>
    </row>
    <row r="1045" spans="1:10">
      <c r="A1045" s="133" t="s">
        <v>98</v>
      </c>
      <c r="B1045" s="132" t="s">
        <v>405</v>
      </c>
      <c r="C1045" s="132" t="s">
        <v>69</v>
      </c>
      <c r="D1045" s="132" t="s">
        <v>431</v>
      </c>
      <c r="E1045" s="132" t="s">
        <v>194</v>
      </c>
      <c r="F1045" s="132"/>
      <c r="G1045" s="158">
        <f t="shared" si="235"/>
        <v>2282</v>
      </c>
      <c r="H1045" s="158">
        <f t="shared" si="235"/>
        <v>1591.2740799999999</v>
      </c>
      <c r="I1045" s="158">
        <f t="shared" si="235"/>
        <v>2282</v>
      </c>
      <c r="J1045" s="158">
        <f t="shared" si="223"/>
        <v>100</v>
      </c>
    </row>
    <row r="1046" spans="1:10">
      <c r="A1046" s="150" t="s">
        <v>278</v>
      </c>
      <c r="B1046" s="148" t="s">
        <v>405</v>
      </c>
      <c r="C1046" s="148" t="s">
        <v>69</v>
      </c>
      <c r="D1046" s="148" t="s">
        <v>431</v>
      </c>
      <c r="E1046" s="148" t="s">
        <v>195</v>
      </c>
      <c r="F1046" s="22"/>
      <c r="G1046" s="178">
        <f t="shared" si="235"/>
        <v>2282</v>
      </c>
      <c r="H1046" s="178">
        <f t="shared" si="235"/>
        <v>1591.2740799999999</v>
      </c>
      <c r="I1046" s="178">
        <f t="shared" si="235"/>
        <v>2282</v>
      </c>
      <c r="J1046" s="178">
        <f t="shared" si="223"/>
        <v>100</v>
      </c>
    </row>
    <row r="1047" spans="1:10">
      <c r="A1047" s="257" t="s">
        <v>30</v>
      </c>
      <c r="B1047" s="258" t="s">
        <v>405</v>
      </c>
      <c r="C1047" s="258" t="s">
        <v>69</v>
      </c>
      <c r="D1047" s="258" t="s">
        <v>431</v>
      </c>
      <c r="E1047" s="258" t="s">
        <v>196</v>
      </c>
      <c r="F1047" s="259"/>
      <c r="G1047" s="158">
        <f t="shared" si="235"/>
        <v>2282</v>
      </c>
      <c r="H1047" s="158">
        <f t="shared" si="235"/>
        <v>1591.2740799999999</v>
      </c>
      <c r="I1047" s="158">
        <f t="shared" si="235"/>
        <v>2282</v>
      </c>
      <c r="J1047" s="158">
        <f t="shared" si="223"/>
        <v>100</v>
      </c>
    </row>
    <row r="1048" spans="1:10" ht="36">
      <c r="A1048" s="131" t="s">
        <v>72</v>
      </c>
      <c r="B1048" s="22" t="s">
        <v>405</v>
      </c>
      <c r="C1048" s="22" t="s">
        <v>69</v>
      </c>
      <c r="D1048" s="22" t="s">
        <v>431</v>
      </c>
      <c r="E1048" s="22" t="s">
        <v>197</v>
      </c>
      <c r="F1048" s="22" t="s">
        <v>73</v>
      </c>
      <c r="G1048" s="156">
        <f t="shared" si="235"/>
        <v>2282</v>
      </c>
      <c r="H1048" s="156">
        <f t="shared" si="235"/>
        <v>1591.2740799999999</v>
      </c>
      <c r="I1048" s="156">
        <f t="shared" si="235"/>
        <v>2282</v>
      </c>
      <c r="J1048" s="156">
        <f t="shared" si="223"/>
        <v>100</v>
      </c>
    </row>
    <row r="1049" spans="1:10">
      <c r="A1049" s="131" t="s">
        <v>74</v>
      </c>
      <c r="B1049" s="22" t="s">
        <v>405</v>
      </c>
      <c r="C1049" s="22" t="s">
        <v>69</v>
      </c>
      <c r="D1049" s="22" t="s">
        <v>431</v>
      </c>
      <c r="E1049" s="22" t="s">
        <v>197</v>
      </c>
      <c r="F1049" s="22" t="s">
        <v>75</v>
      </c>
      <c r="G1049" s="156">
        <v>2282</v>
      </c>
      <c r="H1049" s="156">
        <v>1591.2740799999999</v>
      </c>
      <c r="I1049" s="156">
        <v>2282</v>
      </c>
      <c r="J1049" s="156">
        <f t="shared" si="223"/>
        <v>100</v>
      </c>
    </row>
    <row r="1050" spans="1:10">
      <c r="A1050" s="133" t="s">
        <v>774</v>
      </c>
      <c r="B1050" s="132" t="s">
        <v>405</v>
      </c>
      <c r="C1050" s="132" t="s">
        <v>69</v>
      </c>
      <c r="D1050" s="132" t="s">
        <v>431</v>
      </c>
      <c r="E1050" s="132" t="s">
        <v>769</v>
      </c>
      <c r="F1050" s="132"/>
      <c r="G1050" s="158">
        <f t="shared" ref="G1050:I1051" si="236">G1051</f>
        <v>195.3</v>
      </c>
      <c r="H1050" s="324">
        <f t="shared" si="236"/>
        <v>0</v>
      </c>
      <c r="I1050" s="158">
        <f t="shared" si="236"/>
        <v>195.3</v>
      </c>
      <c r="J1050" s="158">
        <f t="shared" si="223"/>
        <v>100</v>
      </c>
    </row>
    <row r="1051" spans="1:10" ht="36">
      <c r="A1051" s="131" t="s">
        <v>72</v>
      </c>
      <c r="B1051" s="22" t="s">
        <v>405</v>
      </c>
      <c r="C1051" s="22" t="s">
        <v>69</v>
      </c>
      <c r="D1051" s="22" t="s">
        <v>431</v>
      </c>
      <c r="E1051" s="22" t="s">
        <v>769</v>
      </c>
      <c r="F1051" s="22" t="s">
        <v>73</v>
      </c>
      <c r="G1051" s="156">
        <f t="shared" si="236"/>
        <v>195.3</v>
      </c>
      <c r="H1051" s="323">
        <f t="shared" si="236"/>
        <v>0</v>
      </c>
      <c r="I1051" s="156">
        <f t="shared" si="236"/>
        <v>195.3</v>
      </c>
      <c r="J1051" s="156">
        <f t="shared" si="223"/>
        <v>100</v>
      </c>
    </row>
    <row r="1052" spans="1:10">
      <c r="A1052" s="131" t="s">
        <v>74</v>
      </c>
      <c r="B1052" s="22" t="s">
        <v>405</v>
      </c>
      <c r="C1052" s="22" t="s">
        <v>69</v>
      </c>
      <c r="D1052" s="22" t="s">
        <v>431</v>
      </c>
      <c r="E1052" s="22" t="s">
        <v>769</v>
      </c>
      <c r="F1052" s="22" t="s">
        <v>75</v>
      </c>
      <c r="G1052" s="156">
        <v>195.3</v>
      </c>
      <c r="H1052" s="323">
        <v>0</v>
      </c>
      <c r="I1052" s="156">
        <v>195.3</v>
      </c>
      <c r="J1052" s="156">
        <f t="shared" si="223"/>
        <v>100</v>
      </c>
    </row>
    <row r="1053" spans="1:10" ht="24">
      <c r="A1053" s="133" t="s">
        <v>279</v>
      </c>
      <c r="B1053" s="132" t="s">
        <v>405</v>
      </c>
      <c r="C1053" s="132" t="s">
        <v>69</v>
      </c>
      <c r="D1053" s="132" t="s">
        <v>423</v>
      </c>
      <c r="E1053" s="132"/>
      <c r="F1053" s="132"/>
      <c r="G1053" s="158">
        <f t="shared" ref="G1053:I1054" si="237">G1054</f>
        <v>31106</v>
      </c>
      <c r="H1053" s="158">
        <f t="shared" si="237"/>
        <v>21687.248090000001</v>
      </c>
      <c r="I1053" s="158">
        <f t="shared" si="237"/>
        <v>31106</v>
      </c>
      <c r="J1053" s="158">
        <f t="shared" si="223"/>
        <v>100</v>
      </c>
    </row>
    <row r="1054" spans="1:10" ht="13.5">
      <c r="A1054" s="224" t="s">
        <v>29</v>
      </c>
      <c r="B1054" s="140" t="s">
        <v>405</v>
      </c>
      <c r="C1054" s="140" t="s">
        <v>69</v>
      </c>
      <c r="D1054" s="140" t="s">
        <v>423</v>
      </c>
      <c r="E1054" s="146" t="s">
        <v>198</v>
      </c>
      <c r="F1054" s="226"/>
      <c r="G1054" s="175">
        <f t="shared" si="237"/>
        <v>31106</v>
      </c>
      <c r="H1054" s="175">
        <f t="shared" si="237"/>
        <v>21687.248090000001</v>
      </c>
      <c r="I1054" s="175">
        <f t="shared" si="237"/>
        <v>31106</v>
      </c>
      <c r="J1054" s="175">
        <f t="shared" si="223"/>
        <v>100</v>
      </c>
    </row>
    <row r="1055" spans="1:10">
      <c r="A1055" s="133" t="s">
        <v>98</v>
      </c>
      <c r="B1055" s="132" t="s">
        <v>405</v>
      </c>
      <c r="C1055" s="132" t="s">
        <v>69</v>
      </c>
      <c r="D1055" s="132" t="s">
        <v>423</v>
      </c>
      <c r="E1055" s="260" t="s">
        <v>121</v>
      </c>
      <c r="F1055" s="230"/>
      <c r="G1055" s="158">
        <f>G1056+G1059</f>
        <v>31106</v>
      </c>
      <c r="H1055" s="158">
        <f t="shared" ref="H1055:I1055" si="238">H1056+H1059</f>
        <v>21687.248090000001</v>
      </c>
      <c r="I1055" s="158">
        <f t="shared" si="238"/>
        <v>31106</v>
      </c>
      <c r="J1055" s="158">
        <f t="shared" si="223"/>
        <v>100</v>
      </c>
    </row>
    <row r="1056" spans="1:10">
      <c r="A1056" s="257" t="s">
        <v>30</v>
      </c>
      <c r="B1056" s="258" t="s">
        <v>405</v>
      </c>
      <c r="C1056" s="258" t="s">
        <v>69</v>
      </c>
      <c r="D1056" s="258" t="s">
        <v>423</v>
      </c>
      <c r="E1056" s="258" t="s">
        <v>202</v>
      </c>
      <c r="F1056" s="259"/>
      <c r="G1056" s="158">
        <f t="shared" ref="G1056:I1057" si="239">G1057</f>
        <v>25363</v>
      </c>
      <c r="H1056" s="158">
        <f t="shared" si="239"/>
        <v>18768.086070000001</v>
      </c>
      <c r="I1056" s="158">
        <f t="shared" si="239"/>
        <v>25363</v>
      </c>
      <c r="J1056" s="158">
        <f t="shared" si="223"/>
        <v>100</v>
      </c>
    </row>
    <row r="1057" spans="1:10" ht="36">
      <c r="A1057" s="131" t="s">
        <v>72</v>
      </c>
      <c r="B1057" s="22" t="s">
        <v>405</v>
      </c>
      <c r="C1057" s="22" t="s">
        <v>69</v>
      </c>
      <c r="D1057" s="22" t="s">
        <v>423</v>
      </c>
      <c r="E1057" s="22" t="s">
        <v>202</v>
      </c>
      <c r="F1057" s="22" t="s">
        <v>73</v>
      </c>
      <c r="G1057" s="156">
        <f t="shared" si="239"/>
        <v>25363</v>
      </c>
      <c r="H1057" s="156">
        <f t="shared" si="239"/>
        <v>18768.086070000001</v>
      </c>
      <c r="I1057" s="156">
        <f t="shared" si="239"/>
        <v>25363</v>
      </c>
      <c r="J1057" s="156">
        <f t="shared" si="223"/>
        <v>100</v>
      </c>
    </row>
    <row r="1058" spans="1:10">
      <c r="A1058" s="131" t="s">
        <v>74</v>
      </c>
      <c r="B1058" s="22" t="s">
        <v>405</v>
      </c>
      <c r="C1058" s="22" t="s">
        <v>69</v>
      </c>
      <c r="D1058" s="22" t="s">
        <v>423</v>
      </c>
      <c r="E1058" s="22" t="s">
        <v>202</v>
      </c>
      <c r="F1058" s="22" t="s">
        <v>75</v>
      </c>
      <c r="G1058" s="156">
        <f>16647+100+100+750+5558+1581+477+150</f>
        <v>25363</v>
      </c>
      <c r="H1058" s="156">
        <v>18768.086070000001</v>
      </c>
      <c r="I1058" s="156">
        <f t="shared" ref="I1058" si="240">16647+100+100+750+5558+1581+477+150</f>
        <v>25363</v>
      </c>
      <c r="J1058" s="156">
        <f t="shared" ref="J1058:J1090" si="241">I1058/G1058*100</f>
        <v>100</v>
      </c>
    </row>
    <row r="1059" spans="1:10">
      <c r="A1059" s="133" t="s">
        <v>125</v>
      </c>
      <c r="B1059" s="132" t="s">
        <v>405</v>
      </c>
      <c r="C1059" s="132" t="s">
        <v>69</v>
      </c>
      <c r="D1059" s="132" t="s">
        <v>423</v>
      </c>
      <c r="E1059" s="132" t="s">
        <v>203</v>
      </c>
      <c r="F1059" s="22"/>
      <c r="G1059" s="158">
        <f>G1060+G1062</f>
        <v>5743</v>
      </c>
      <c r="H1059" s="158">
        <f t="shared" ref="H1059:I1059" si="242">H1060+H1062</f>
        <v>2919.1620199999998</v>
      </c>
      <c r="I1059" s="158">
        <f t="shared" si="242"/>
        <v>5743</v>
      </c>
      <c r="J1059" s="158">
        <f t="shared" si="241"/>
        <v>100</v>
      </c>
    </row>
    <row r="1060" spans="1:10">
      <c r="A1060" s="131" t="s">
        <v>486</v>
      </c>
      <c r="B1060" s="22" t="s">
        <v>405</v>
      </c>
      <c r="C1060" s="22" t="s">
        <v>69</v>
      </c>
      <c r="D1060" s="22" t="s">
        <v>423</v>
      </c>
      <c r="E1060" s="22" t="s">
        <v>203</v>
      </c>
      <c r="F1060" s="22" t="s">
        <v>77</v>
      </c>
      <c r="G1060" s="156">
        <f>G1061</f>
        <v>5723</v>
      </c>
      <c r="H1060" s="156">
        <f t="shared" ref="H1060:I1060" si="243">H1061</f>
        <v>2908.4530199999999</v>
      </c>
      <c r="I1060" s="156">
        <f t="shared" si="243"/>
        <v>5723</v>
      </c>
      <c r="J1060" s="156">
        <f t="shared" si="241"/>
        <v>100</v>
      </c>
    </row>
    <row r="1061" spans="1:10">
      <c r="A1061" s="131" t="s">
        <v>78</v>
      </c>
      <c r="B1061" s="22" t="s">
        <v>405</v>
      </c>
      <c r="C1061" s="22" t="s">
        <v>69</v>
      </c>
      <c r="D1061" s="22" t="s">
        <v>423</v>
      </c>
      <c r="E1061" s="22" t="s">
        <v>203</v>
      </c>
      <c r="F1061" s="22" t="s">
        <v>79</v>
      </c>
      <c r="G1061" s="156">
        <f>3873+2000-100+100-150</f>
        <v>5723</v>
      </c>
      <c r="H1061" s="156">
        <v>2908.4530199999999</v>
      </c>
      <c r="I1061" s="156">
        <f t="shared" ref="I1061" si="244">3873+2000-100+100-150</f>
        <v>5723</v>
      </c>
      <c r="J1061" s="156">
        <f t="shared" si="241"/>
        <v>100</v>
      </c>
    </row>
    <row r="1062" spans="1:10">
      <c r="A1062" s="131" t="s">
        <v>80</v>
      </c>
      <c r="B1062" s="22" t="s">
        <v>405</v>
      </c>
      <c r="C1062" s="22" t="s">
        <v>69</v>
      </c>
      <c r="D1062" s="22" t="s">
        <v>423</v>
      </c>
      <c r="E1062" s="22" t="s">
        <v>203</v>
      </c>
      <c r="F1062" s="22" t="s">
        <v>81</v>
      </c>
      <c r="G1062" s="156">
        <f>G1063</f>
        <v>20</v>
      </c>
      <c r="H1062" s="156">
        <f t="shared" ref="H1062:I1062" si="245">H1063</f>
        <v>10.709</v>
      </c>
      <c r="I1062" s="156">
        <f t="shared" si="245"/>
        <v>20</v>
      </c>
      <c r="J1062" s="156">
        <f t="shared" si="241"/>
        <v>100</v>
      </c>
    </row>
    <row r="1063" spans="1:10">
      <c r="A1063" s="131" t="s">
        <v>445</v>
      </c>
      <c r="B1063" s="22" t="s">
        <v>405</v>
      </c>
      <c r="C1063" s="22" t="s">
        <v>69</v>
      </c>
      <c r="D1063" s="22" t="s">
        <v>423</v>
      </c>
      <c r="E1063" s="22" t="s">
        <v>203</v>
      </c>
      <c r="F1063" s="22" t="s">
        <v>82</v>
      </c>
      <c r="G1063" s="156">
        <f>520-500</f>
        <v>20</v>
      </c>
      <c r="H1063" s="156">
        <v>10.709</v>
      </c>
      <c r="I1063" s="156">
        <f t="shared" ref="I1063" si="246">520-500</f>
        <v>20</v>
      </c>
      <c r="J1063" s="156">
        <f t="shared" si="241"/>
        <v>100</v>
      </c>
    </row>
    <row r="1064" spans="1:10">
      <c r="A1064" s="224" t="s">
        <v>34</v>
      </c>
      <c r="B1064" s="140" t="s">
        <v>405</v>
      </c>
      <c r="C1064" s="140" t="s">
        <v>69</v>
      </c>
      <c r="D1064" s="140" t="s">
        <v>86</v>
      </c>
      <c r="E1064" s="140" t="s">
        <v>187</v>
      </c>
      <c r="F1064" s="140"/>
      <c r="G1064" s="175">
        <f t="shared" ref="G1064:I1068" si="247">G1065</f>
        <v>2220</v>
      </c>
      <c r="H1064" s="175">
        <f t="shared" si="247"/>
        <v>1849.99872</v>
      </c>
      <c r="I1064" s="175">
        <f t="shared" si="247"/>
        <v>2220</v>
      </c>
      <c r="J1064" s="175">
        <f t="shared" si="241"/>
        <v>100</v>
      </c>
    </row>
    <row r="1065" spans="1:10">
      <c r="A1065" s="133" t="s">
        <v>98</v>
      </c>
      <c r="B1065" s="132" t="s">
        <v>405</v>
      </c>
      <c r="C1065" s="132" t="s">
        <v>69</v>
      </c>
      <c r="D1065" s="132" t="s">
        <v>86</v>
      </c>
      <c r="E1065" s="132" t="s">
        <v>188</v>
      </c>
      <c r="F1065" s="132"/>
      <c r="G1065" s="158">
        <f>G1066</f>
        <v>2220</v>
      </c>
      <c r="H1065" s="158">
        <f t="shared" si="247"/>
        <v>1849.99872</v>
      </c>
      <c r="I1065" s="158">
        <f t="shared" si="247"/>
        <v>2220</v>
      </c>
      <c r="J1065" s="158">
        <f t="shared" si="241"/>
        <v>100</v>
      </c>
    </row>
    <row r="1066" spans="1:10" ht="24">
      <c r="A1066" s="150" t="s">
        <v>27</v>
      </c>
      <c r="B1066" s="148" t="s">
        <v>405</v>
      </c>
      <c r="C1066" s="148" t="s">
        <v>69</v>
      </c>
      <c r="D1066" s="148" t="s">
        <v>86</v>
      </c>
      <c r="E1066" s="148" t="s">
        <v>204</v>
      </c>
      <c r="F1066" s="148"/>
      <c r="G1066" s="178">
        <f>G1067+G1070</f>
        <v>2220</v>
      </c>
      <c r="H1066" s="178">
        <f t="shared" ref="H1066:I1066" si="248">H1067+H1070</f>
        <v>1849.99872</v>
      </c>
      <c r="I1066" s="178">
        <f t="shared" si="248"/>
        <v>2220</v>
      </c>
      <c r="J1066" s="178">
        <f t="shared" si="241"/>
        <v>100</v>
      </c>
    </row>
    <row r="1067" spans="1:10">
      <c r="A1067" s="212" t="s">
        <v>35</v>
      </c>
      <c r="B1067" s="132" t="s">
        <v>405</v>
      </c>
      <c r="C1067" s="132" t="s">
        <v>69</v>
      </c>
      <c r="D1067" s="132" t="s">
        <v>86</v>
      </c>
      <c r="E1067" s="132" t="s">
        <v>204</v>
      </c>
      <c r="F1067" s="132"/>
      <c r="G1067" s="158">
        <f>G1068</f>
        <v>2192.5</v>
      </c>
      <c r="H1067" s="158">
        <f t="shared" ref="H1067:I1067" si="249">H1068</f>
        <v>1822.49872</v>
      </c>
      <c r="I1067" s="158">
        <f t="shared" si="249"/>
        <v>2192.5</v>
      </c>
      <c r="J1067" s="158">
        <f t="shared" si="241"/>
        <v>100</v>
      </c>
    </row>
    <row r="1068" spans="1:10" ht="36">
      <c r="A1068" s="131" t="s">
        <v>72</v>
      </c>
      <c r="B1068" s="22" t="s">
        <v>405</v>
      </c>
      <c r="C1068" s="22" t="s">
        <v>69</v>
      </c>
      <c r="D1068" s="22" t="s">
        <v>86</v>
      </c>
      <c r="E1068" s="22" t="s">
        <v>204</v>
      </c>
      <c r="F1068" s="22" t="s">
        <v>73</v>
      </c>
      <c r="G1068" s="156">
        <f t="shared" si="247"/>
        <v>2192.5</v>
      </c>
      <c r="H1068" s="156">
        <f t="shared" si="247"/>
        <v>1822.49872</v>
      </c>
      <c r="I1068" s="156">
        <f t="shared" si="247"/>
        <v>2192.5</v>
      </c>
      <c r="J1068" s="156">
        <f t="shared" si="241"/>
        <v>100</v>
      </c>
    </row>
    <row r="1069" spans="1:10">
      <c r="A1069" s="131" t="s">
        <v>74</v>
      </c>
      <c r="B1069" s="22" t="s">
        <v>405</v>
      </c>
      <c r="C1069" s="22" t="s">
        <v>69</v>
      </c>
      <c r="D1069" s="22" t="s">
        <v>86</v>
      </c>
      <c r="E1069" s="22" t="s">
        <v>204</v>
      </c>
      <c r="F1069" s="22" t="s">
        <v>75</v>
      </c>
      <c r="G1069" s="156">
        <f>2220-27.5</f>
        <v>2192.5</v>
      </c>
      <c r="H1069" s="156">
        <v>1822.49872</v>
      </c>
      <c r="I1069" s="156">
        <f t="shared" ref="I1069" si="250">2220-27.5</f>
        <v>2192.5</v>
      </c>
      <c r="J1069" s="156">
        <f t="shared" si="241"/>
        <v>100</v>
      </c>
    </row>
    <row r="1070" spans="1:10">
      <c r="A1070" s="133" t="s">
        <v>738</v>
      </c>
      <c r="B1070" s="132" t="s">
        <v>405</v>
      </c>
      <c r="C1070" s="132" t="s">
        <v>69</v>
      </c>
      <c r="D1070" s="132" t="s">
        <v>86</v>
      </c>
      <c r="E1070" s="132" t="s">
        <v>204</v>
      </c>
      <c r="F1070" s="132"/>
      <c r="G1070" s="158">
        <f>G1071</f>
        <v>27.5</v>
      </c>
      <c r="H1070" s="158">
        <f t="shared" ref="H1070:I1071" si="251">H1071</f>
        <v>27.5</v>
      </c>
      <c r="I1070" s="158">
        <f t="shared" si="251"/>
        <v>27.5</v>
      </c>
      <c r="J1070" s="158">
        <f t="shared" si="241"/>
        <v>100</v>
      </c>
    </row>
    <row r="1071" spans="1:10">
      <c r="A1071" s="131" t="s">
        <v>486</v>
      </c>
      <c r="B1071" s="22" t="s">
        <v>405</v>
      </c>
      <c r="C1071" s="22" t="s">
        <v>69</v>
      </c>
      <c r="D1071" s="22" t="s">
        <v>86</v>
      </c>
      <c r="E1071" s="22" t="s">
        <v>204</v>
      </c>
      <c r="F1071" s="22" t="s">
        <v>77</v>
      </c>
      <c r="G1071" s="156">
        <f>G1072</f>
        <v>27.5</v>
      </c>
      <c r="H1071" s="156">
        <f t="shared" si="251"/>
        <v>27.5</v>
      </c>
      <c r="I1071" s="156">
        <f t="shared" si="251"/>
        <v>27.5</v>
      </c>
      <c r="J1071" s="156">
        <f t="shared" si="241"/>
        <v>100</v>
      </c>
    </row>
    <row r="1072" spans="1:10">
      <c r="A1072" s="131" t="s">
        <v>78</v>
      </c>
      <c r="B1072" s="22" t="s">
        <v>405</v>
      </c>
      <c r="C1072" s="22" t="s">
        <v>69</v>
      </c>
      <c r="D1072" s="22" t="s">
        <v>86</v>
      </c>
      <c r="E1072" s="22" t="s">
        <v>204</v>
      </c>
      <c r="F1072" s="22" t="s">
        <v>79</v>
      </c>
      <c r="G1072" s="156">
        <v>27.5</v>
      </c>
      <c r="H1072" s="156">
        <v>27.5</v>
      </c>
      <c r="I1072" s="156">
        <v>27.5</v>
      </c>
      <c r="J1072" s="156">
        <f t="shared" si="241"/>
        <v>100</v>
      </c>
    </row>
    <row r="1073" spans="1:10" ht="31.5">
      <c r="A1073" s="213" t="s">
        <v>345</v>
      </c>
      <c r="B1073" s="214" t="s">
        <v>346</v>
      </c>
      <c r="C1073" s="214"/>
      <c r="D1073" s="214"/>
      <c r="E1073" s="214"/>
      <c r="F1073" s="261"/>
      <c r="G1073" s="215">
        <f>G1074</f>
        <v>15160</v>
      </c>
      <c r="H1073" s="215">
        <f t="shared" ref="H1073:I1073" si="252">H1074</f>
        <v>11703.144909999999</v>
      </c>
      <c r="I1073" s="215">
        <f t="shared" si="252"/>
        <v>15160</v>
      </c>
      <c r="J1073" s="215">
        <f t="shared" si="241"/>
        <v>100</v>
      </c>
    </row>
    <row r="1074" spans="1:10">
      <c r="A1074" s="133" t="s">
        <v>103</v>
      </c>
      <c r="B1074" s="132" t="s">
        <v>346</v>
      </c>
      <c r="C1074" s="132" t="s">
        <v>69</v>
      </c>
      <c r="D1074" s="132" t="s">
        <v>70</v>
      </c>
      <c r="E1074" s="132"/>
      <c r="F1074" s="145"/>
      <c r="G1074" s="158">
        <f>G1075+G1086</f>
        <v>15160</v>
      </c>
      <c r="H1074" s="158">
        <f t="shared" ref="H1074:I1074" si="253">H1075+H1086</f>
        <v>11703.144909999999</v>
      </c>
      <c r="I1074" s="158">
        <f t="shared" si="253"/>
        <v>15160</v>
      </c>
      <c r="J1074" s="158">
        <f t="shared" si="241"/>
        <v>100</v>
      </c>
    </row>
    <row r="1075" spans="1:10" ht="24">
      <c r="A1075" s="133" t="s">
        <v>282</v>
      </c>
      <c r="B1075" s="132" t="s">
        <v>346</v>
      </c>
      <c r="C1075" s="132" t="s">
        <v>69</v>
      </c>
      <c r="D1075" s="132" t="s">
        <v>270</v>
      </c>
      <c r="E1075" s="132"/>
      <c r="F1075" s="132"/>
      <c r="G1075" s="158">
        <f>G1076</f>
        <v>15155</v>
      </c>
      <c r="H1075" s="158">
        <f t="shared" ref="H1075:I1076" si="254">H1076</f>
        <v>11698.144909999999</v>
      </c>
      <c r="I1075" s="158">
        <f t="shared" si="254"/>
        <v>15155</v>
      </c>
      <c r="J1075" s="158">
        <f t="shared" si="241"/>
        <v>100</v>
      </c>
    </row>
    <row r="1076" spans="1:10" ht="24">
      <c r="A1076" s="173" t="s">
        <v>348</v>
      </c>
      <c r="B1076" s="140" t="s">
        <v>346</v>
      </c>
      <c r="C1076" s="140" t="s">
        <v>69</v>
      </c>
      <c r="D1076" s="140" t="s">
        <v>270</v>
      </c>
      <c r="E1076" s="140" t="s">
        <v>205</v>
      </c>
      <c r="F1076" s="148"/>
      <c r="G1076" s="175">
        <f>G1077</f>
        <v>15155</v>
      </c>
      <c r="H1076" s="175">
        <f t="shared" si="254"/>
        <v>11698.144909999999</v>
      </c>
      <c r="I1076" s="175">
        <f t="shared" si="254"/>
        <v>15155</v>
      </c>
      <c r="J1076" s="175">
        <f t="shared" si="241"/>
        <v>100</v>
      </c>
    </row>
    <row r="1077" spans="1:10">
      <c r="A1077" s="212" t="s">
        <v>272</v>
      </c>
      <c r="B1077" s="132" t="s">
        <v>346</v>
      </c>
      <c r="C1077" s="132" t="s">
        <v>69</v>
      </c>
      <c r="D1077" s="132" t="s">
        <v>270</v>
      </c>
      <c r="E1077" s="132" t="s">
        <v>206</v>
      </c>
      <c r="F1077" s="132"/>
      <c r="G1077" s="158">
        <f>G1078+G1081</f>
        <v>15155</v>
      </c>
      <c r="H1077" s="158">
        <f t="shared" ref="H1077:I1077" si="255">H1078+H1081</f>
        <v>11698.144909999999</v>
      </c>
      <c r="I1077" s="158">
        <f t="shared" si="255"/>
        <v>15155</v>
      </c>
      <c r="J1077" s="158">
        <f t="shared" si="241"/>
        <v>100</v>
      </c>
    </row>
    <row r="1078" spans="1:10" ht="24">
      <c r="A1078" s="212" t="s">
        <v>37</v>
      </c>
      <c r="B1078" s="132" t="s">
        <v>346</v>
      </c>
      <c r="C1078" s="132" t="s">
        <v>69</v>
      </c>
      <c r="D1078" s="132" t="s">
        <v>270</v>
      </c>
      <c r="E1078" s="132" t="s">
        <v>207</v>
      </c>
      <c r="F1078" s="132"/>
      <c r="G1078" s="158">
        <f>G1079</f>
        <v>13090</v>
      </c>
      <c r="H1078" s="158">
        <f t="shared" ref="H1078:I1079" si="256">H1079</f>
        <v>10389.383379999999</v>
      </c>
      <c r="I1078" s="158">
        <f t="shared" si="256"/>
        <v>13090</v>
      </c>
      <c r="J1078" s="158">
        <f t="shared" si="241"/>
        <v>100</v>
      </c>
    </row>
    <row r="1079" spans="1:10" ht="36">
      <c r="A1079" s="131" t="s">
        <v>72</v>
      </c>
      <c r="B1079" s="22" t="s">
        <v>346</v>
      </c>
      <c r="C1079" s="22" t="s">
        <v>69</v>
      </c>
      <c r="D1079" s="22" t="s">
        <v>270</v>
      </c>
      <c r="E1079" s="22" t="s">
        <v>207</v>
      </c>
      <c r="F1079" s="22" t="s">
        <v>73</v>
      </c>
      <c r="G1079" s="156">
        <f>G1080</f>
        <v>13090</v>
      </c>
      <c r="H1079" s="156">
        <f t="shared" si="256"/>
        <v>10389.383379999999</v>
      </c>
      <c r="I1079" s="156">
        <f t="shared" si="256"/>
        <v>13090</v>
      </c>
      <c r="J1079" s="156">
        <f t="shared" si="241"/>
        <v>100</v>
      </c>
    </row>
    <row r="1080" spans="1:10">
      <c r="A1080" s="131" t="s">
        <v>74</v>
      </c>
      <c r="B1080" s="22" t="s">
        <v>346</v>
      </c>
      <c r="C1080" s="22" t="s">
        <v>69</v>
      </c>
      <c r="D1080" s="22" t="s">
        <v>270</v>
      </c>
      <c r="E1080" s="22" t="s">
        <v>207</v>
      </c>
      <c r="F1080" s="22" t="s">
        <v>75</v>
      </c>
      <c r="G1080" s="156">
        <f>10000+40+50+3000</f>
        <v>13090</v>
      </c>
      <c r="H1080" s="156">
        <v>10389.383379999999</v>
      </c>
      <c r="I1080" s="156">
        <f t="shared" ref="I1080" si="257">10000+40+50+3000</f>
        <v>13090</v>
      </c>
      <c r="J1080" s="156">
        <f t="shared" si="241"/>
        <v>100</v>
      </c>
    </row>
    <row r="1081" spans="1:10" ht="24">
      <c r="A1081" s="133" t="s">
        <v>38</v>
      </c>
      <c r="B1081" s="132" t="s">
        <v>346</v>
      </c>
      <c r="C1081" s="132" t="s">
        <v>69</v>
      </c>
      <c r="D1081" s="132" t="s">
        <v>270</v>
      </c>
      <c r="E1081" s="132" t="s">
        <v>208</v>
      </c>
      <c r="F1081" s="132"/>
      <c r="G1081" s="158">
        <f>G1082+G1084</f>
        <v>2065</v>
      </c>
      <c r="H1081" s="158">
        <f t="shared" ref="H1081:I1081" si="258">H1082+H1084</f>
        <v>1308.76153</v>
      </c>
      <c r="I1081" s="158">
        <f t="shared" si="258"/>
        <v>2065</v>
      </c>
      <c r="J1081" s="158">
        <f t="shared" si="241"/>
        <v>100</v>
      </c>
    </row>
    <row r="1082" spans="1:10">
      <c r="A1082" s="131" t="s">
        <v>486</v>
      </c>
      <c r="B1082" s="22" t="s">
        <v>346</v>
      </c>
      <c r="C1082" s="22" t="s">
        <v>69</v>
      </c>
      <c r="D1082" s="22" t="s">
        <v>270</v>
      </c>
      <c r="E1082" s="22" t="s">
        <v>208</v>
      </c>
      <c r="F1082" s="22" t="s">
        <v>77</v>
      </c>
      <c r="G1082" s="156">
        <f>G1083</f>
        <v>2027</v>
      </c>
      <c r="H1082" s="156">
        <f t="shared" ref="H1082:I1082" si="259">H1083</f>
        <v>1277.9385299999999</v>
      </c>
      <c r="I1082" s="156">
        <f t="shared" si="259"/>
        <v>2027</v>
      </c>
      <c r="J1082" s="156">
        <f t="shared" si="241"/>
        <v>100</v>
      </c>
    </row>
    <row r="1083" spans="1:10">
      <c r="A1083" s="131" t="s">
        <v>78</v>
      </c>
      <c r="B1083" s="22" t="s">
        <v>346</v>
      </c>
      <c r="C1083" s="22" t="s">
        <v>69</v>
      </c>
      <c r="D1083" s="22" t="s">
        <v>270</v>
      </c>
      <c r="E1083" s="22" t="s">
        <v>208</v>
      </c>
      <c r="F1083" s="22" t="s">
        <v>79</v>
      </c>
      <c r="G1083" s="156">
        <f>2032-5</f>
        <v>2027</v>
      </c>
      <c r="H1083" s="156">
        <v>1277.9385299999999</v>
      </c>
      <c r="I1083" s="156">
        <f t="shared" ref="I1083" si="260">2032-5</f>
        <v>2027</v>
      </c>
      <c r="J1083" s="156">
        <f t="shared" si="241"/>
        <v>100</v>
      </c>
    </row>
    <row r="1084" spans="1:10">
      <c r="A1084" s="131" t="s">
        <v>80</v>
      </c>
      <c r="B1084" s="22" t="s">
        <v>346</v>
      </c>
      <c r="C1084" s="22" t="s">
        <v>69</v>
      </c>
      <c r="D1084" s="22" t="s">
        <v>270</v>
      </c>
      <c r="E1084" s="22" t="s">
        <v>208</v>
      </c>
      <c r="F1084" s="22" t="s">
        <v>81</v>
      </c>
      <c r="G1084" s="156">
        <f>G1085</f>
        <v>38</v>
      </c>
      <c r="H1084" s="156">
        <f t="shared" ref="H1084:I1084" si="261">H1085</f>
        <v>30.823</v>
      </c>
      <c r="I1084" s="156">
        <f t="shared" si="261"/>
        <v>38</v>
      </c>
      <c r="J1084" s="156">
        <f t="shared" si="241"/>
        <v>100</v>
      </c>
    </row>
    <row r="1085" spans="1:10">
      <c r="A1085" s="131" t="s">
        <v>445</v>
      </c>
      <c r="B1085" s="22" t="s">
        <v>346</v>
      </c>
      <c r="C1085" s="22" t="s">
        <v>69</v>
      </c>
      <c r="D1085" s="22" t="s">
        <v>270</v>
      </c>
      <c r="E1085" s="22" t="s">
        <v>208</v>
      </c>
      <c r="F1085" s="22" t="s">
        <v>82</v>
      </c>
      <c r="G1085" s="156">
        <v>38</v>
      </c>
      <c r="H1085" s="156">
        <v>30.823</v>
      </c>
      <c r="I1085" s="156">
        <v>38</v>
      </c>
      <c r="J1085" s="156">
        <f t="shared" si="241"/>
        <v>100</v>
      </c>
    </row>
    <row r="1086" spans="1:10">
      <c r="A1086" s="133" t="s">
        <v>285</v>
      </c>
      <c r="B1086" s="132" t="s">
        <v>346</v>
      </c>
      <c r="C1086" s="132" t="s">
        <v>69</v>
      </c>
      <c r="D1086" s="132" t="s">
        <v>86</v>
      </c>
      <c r="E1086" s="132"/>
      <c r="F1086" s="132"/>
      <c r="G1086" s="158">
        <f>G1087</f>
        <v>5</v>
      </c>
      <c r="H1086" s="158">
        <f t="shared" ref="H1086:I1089" si="262">H1087</f>
        <v>5</v>
      </c>
      <c r="I1086" s="158">
        <f t="shared" si="262"/>
        <v>5</v>
      </c>
      <c r="J1086" s="158">
        <f t="shared" si="241"/>
        <v>100</v>
      </c>
    </row>
    <row r="1087" spans="1:10">
      <c r="A1087" s="133" t="s">
        <v>272</v>
      </c>
      <c r="B1087" s="132" t="s">
        <v>346</v>
      </c>
      <c r="C1087" s="132" t="s">
        <v>69</v>
      </c>
      <c r="D1087" s="132" t="s">
        <v>86</v>
      </c>
      <c r="E1087" s="210" t="s">
        <v>188</v>
      </c>
      <c r="F1087" s="132"/>
      <c r="G1087" s="158">
        <f>G1088</f>
        <v>5</v>
      </c>
      <c r="H1087" s="158">
        <f t="shared" si="262"/>
        <v>5</v>
      </c>
      <c r="I1087" s="158">
        <f t="shared" si="262"/>
        <v>5</v>
      </c>
      <c r="J1087" s="158">
        <f t="shared" si="241"/>
        <v>100</v>
      </c>
    </row>
    <row r="1088" spans="1:10">
      <c r="A1088" s="224" t="s">
        <v>286</v>
      </c>
      <c r="B1088" s="140" t="s">
        <v>346</v>
      </c>
      <c r="C1088" s="140" t="s">
        <v>69</v>
      </c>
      <c r="D1088" s="140" t="s">
        <v>86</v>
      </c>
      <c r="E1088" s="231" t="s">
        <v>525</v>
      </c>
      <c r="F1088" s="140"/>
      <c r="G1088" s="175">
        <f>G1089</f>
        <v>5</v>
      </c>
      <c r="H1088" s="175">
        <f t="shared" si="262"/>
        <v>5</v>
      </c>
      <c r="I1088" s="175">
        <f t="shared" si="262"/>
        <v>5</v>
      </c>
      <c r="J1088" s="175">
        <f t="shared" si="241"/>
        <v>100</v>
      </c>
    </row>
    <row r="1089" spans="1:10">
      <c r="A1089" s="131" t="s">
        <v>80</v>
      </c>
      <c r="B1089" s="22" t="s">
        <v>346</v>
      </c>
      <c r="C1089" s="22" t="s">
        <v>69</v>
      </c>
      <c r="D1089" s="22" t="s">
        <v>86</v>
      </c>
      <c r="E1089" s="211" t="s">
        <v>525</v>
      </c>
      <c r="F1089" s="22" t="s">
        <v>81</v>
      </c>
      <c r="G1089" s="156">
        <f>G1090</f>
        <v>5</v>
      </c>
      <c r="H1089" s="156">
        <f t="shared" si="262"/>
        <v>5</v>
      </c>
      <c r="I1089" s="156">
        <f t="shared" si="262"/>
        <v>5</v>
      </c>
      <c r="J1089" s="156">
        <f t="shared" si="241"/>
        <v>100</v>
      </c>
    </row>
    <row r="1090" spans="1:10">
      <c r="A1090" s="131" t="s">
        <v>133</v>
      </c>
      <c r="B1090" s="22" t="s">
        <v>346</v>
      </c>
      <c r="C1090" s="22" t="s">
        <v>69</v>
      </c>
      <c r="D1090" s="22" t="s">
        <v>86</v>
      </c>
      <c r="E1090" s="211" t="s">
        <v>525</v>
      </c>
      <c r="F1090" s="22" t="s">
        <v>136</v>
      </c>
      <c r="G1090" s="156">
        <v>5</v>
      </c>
      <c r="H1090" s="156">
        <v>5</v>
      </c>
      <c r="I1090" s="156">
        <v>5</v>
      </c>
      <c r="J1090" s="156">
        <f t="shared" si="241"/>
        <v>100</v>
      </c>
    </row>
    <row r="1091" spans="1:10" hidden="1"/>
    <row r="1092" spans="1:10" ht="15.75" hidden="1">
      <c r="A1092" s="355" t="s">
        <v>775</v>
      </c>
      <c r="B1092" s="355"/>
      <c r="C1092" s="355"/>
      <c r="D1092" s="355"/>
      <c r="E1092" s="355"/>
    </row>
  </sheetData>
  <autoFilter ref="A6:J1090"/>
  <mergeCells count="14">
    <mergeCell ref="G6:G7"/>
    <mergeCell ref="H6:H7"/>
    <mergeCell ref="I6:I7"/>
    <mergeCell ref="A5:J5"/>
    <mergeCell ref="A2:F2"/>
    <mergeCell ref="F6:F7"/>
    <mergeCell ref="A3:K3"/>
    <mergeCell ref="J6:J7"/>
    <mergeCell ref="A1092:E1092"/>
    <mergeCell ref="A6:A7"/>
    <mergeCell ref="B6:B7"/>
    <mergeCell ref="C6:C7"/>
    <mergeCell ref="D6:D7"/>
    <mergeCell ref="E6:E7"/>
  </mergeCells>
  <phoneticPr fontId="2" type="noConversion"/>
  <pageMargins left="0.59055118110236227" right="0.39370078740157483" top="0.39370078740157483" bottom="0.39370078740157483" header="0" footer="0"/>
  <pageSetup paperSize="9" scale="78" orientation="landscape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K977"/>
  <sheetViews>
    <sheetView view="pageBreakPreview" topLeftCell="A7" zoomScale="120" zoomScaleNormal="120" zoomScaleSheetLayoutView="120" workbookViewId="0">
      <selection activeCell="F6" sqref="F6:F7"/>
    </sheetView>
  </sheetViews>
  <sheetFormatPr defaultRowHeight="12.75"/>
  <cols>
    <col min="1" max="1" width="88.42578125" style="1" customWidth="1"/>
    <col min="2" max="3" width="7.5703125" style="16" customWidth="1"/>
    <col min="4" max="4" width="13.42578125" style="16" customWidth="1"/>
    <col min="5" max="5" width="9.42578125" style="16" customWidth="1"/>
    <col min="6" max="6" width="15" style="23" customWidth="1"/>
    <col min="7" max="8" width="14" style="23" customWidth="1"/>
    <col min="9" max="9" width="13.140625" customWidth="1"/>
  </cols>
  <sheetData>
    <row r="1" spans="1:11">
      <c r="A1" s="42"/>
      <c r="B1" s="38"/>
      <c r="C1" s="38"/>
      <c r="D1" s="38"/>
      <c r="E1" s="38"/>
      <c r="F1" s="39"/>
      <c r="G1" s="39"/>
      <c r="H1" s="39"/>
    </row>
    <row r="2" spans="1:11" ht="15.75">
      <c r="A2" s="40"/>
      <c r="B2" s="40"/>
      <c r="C2" s="40"/>
      <c r="D2" s="40"/>
      <c r="E2" s="40"/>
    </row>
    <row r="3" spans="1:11" ht="60.75" customHeight="1">
      <c r="A3" s="366" t="s">
        <v>819</v>
      </c>
      <c r="B3" s="366"/>
      <c r="C3" s="366"/>
      <c r="D3" s="366"/>
      <c r="E3" s="366"/>
      <c r="F3" s="366"/>
      <c r="G3" s="366"/>
      <c r="H3" s="366"/>
      <c r="I3" s="366"/>
      <c r="J3" s="266"/>
      <c r="K3" s="266"/>
    </row>
    <row r="4" spans="1:11" ht="8.25" customHeight="1">
      <c r="A4" s="41"/>
      <c r="B4" s="41"/>
      <c r="C4" s="41"/>
      <c r="D4" s="41"/>
      <c r="E4" s="41"/>
    </row>
    <row r="5" spans="1:11">
      <c r="A5" s="367" t="s">
        <v>410</v>
      </c>
      <c r="B5" s="367"/>
      <c r="C5" s="367"/>
      <c r="D5" s="367"/>
      <c r="E5" s="367"/>
      <c r="F5" s="367"/>
      <c r="G5" s="367"/>
      <c r="H5" s="367"/>
      <c r="I5" s="367"/>
    </row>
    <row r="6" spans="1:11" ht="24.75" customHeight="1">
      <c r="A6" s="358" t="s">
        <v>99</v>
      </c>
      <c r="B6" s="358" t="s">
        <v>33</v>
      </c>
      <c r="C6" s="358" t="s">
        <v>32</v>
      </c>
      <c r="D6" s="358" t="s">
        <v>100</v>
      </c>
      <c r="E6" s="358" t="s">
        <v>357</v>
      </c>
      <c r="F6" s="358" t="s">
        <v>778</v>
      </c>
      <c r="G6" s="360" t="s">
        <v>779</v>
      </c>
      <c r="H6" s="360" t="s">
        <v>780</v>
      </c>
      <c r="I6" s="360" t="s">
        <v>777</v>
      </c>
    </row>
    <row r="7" spans="1:11" ht="9" customHeight="1">
      <c r="A7" s="359"/>
      <c r="B7" s="359"/>
      <c r="C7" s="359"/>
      <c r="D7" s="359"/>
      <c r="E7" s="359"/>
      <c r="F7" s="359"/>
      <c r="G7" s="361"/>
      <c r="H7" s="361"/>
      <c r="I7" s="361"/>
    </row>
    <row r="8" spans="1:11" ht="15" customHeight="1">
      <c r="A8" s="130"/>
      <c r="B8" s="130"/>
      <c r="C8" s="130"/>
      <c r="D8" s="130"/>
      <c r="E8" s="130"/>
      <c r="F8" s="28"/>
      <c r="G8" s="28"/>
      <c r="H8" s="28"/>
    </row>
    <row r="9" spans="1:11" ht="15.75">
      <c r="A9" s="30" t="s">
        <v>102</v>
      </c>
      <c r="B9" s="17"/>
      <c r="C9" s="17"/>
      <c r="D9" s="17"/>
      <c r="E9" s="17"/>
      <c r="F9" s="33">
        <f>F10+F179+F194+F317+F518+F662+F736+F777+F810+F816</f>
        <v>6186059.64989</v>
      </c>
      <c r="G9" s="33">
        <f>G10+G179+G194+G317+G518+G662+G736+G777+G810+G816</f>
        <v>4646803.5259509999</v>
      </c>
      <c r="H9" s="33">
        <f>H10+H179+H194+H317+H518+H662+H736+H777+H810+H816</f>
        <v>6068337.7986199996</v>
      </c>
      <c r="I9" s="33">
        <f>H9/F9*100</f>
        <v>98.096981633985806</v>
      </c>
    </row>
    <row r="10" spans="1:11" s="119" customFormat="1">
      <c r="A10" s="58" t="s">
        <v>103</v>
      </c>
      <c r="B10" s="59" t="s">
        <v>69</v>
      </c>
      <c r="C10" s="59" t="s">
        <v>70</v>
      </c>
      <c r="D10" s="66"/>
      <c r="E10" s="66"/>
      <c r="F10" s="60">
        <f>F11+F21+F32+F55+F61+F85+F91</f>
        <v>454709.97898999997</v>
      </c>
      <c r="G10" s="60">
        <f>G11+G21+G32+G55+G61+G85+G91</f>
        <v>256475.04378000001</v>
      </c>
      <c r="H10" s="60">
        <f>H11+H21+H32+H55+H61+H85+H91</f>
        <v>454272.17898999993</v>
      </c>
      <c r="I10" s="60">
        <f>H10/F10*100</f>
        <v>99.903718849326225</v>
      </c>
    </row>
    <row r="11" spans="1:11" s="119" customFormat="1" ht="24">
      <c r="A11" s="58" t="s">
        <v>406</v>
      </c>
      <c r="B11" s="59" t="s">
        <v>69</v>
      </c>
      <c r="C11" s="59" t="s">
        <v>431</v>
      </c>
      <c r="D11" s="59"/>
      <c r="E11" s="59"/>
      <c r="F11" s="60">
        <f>F12+F18</f>
        <v>2477.3000000000002</v>
      </c>
      <c r="G11" s="60">
        <f>G12+G18</f>
        <v>1591.2740799999999</v>
      </c>
      <c r="H11" s="60">
        <f>H12+H18</f>
        <v>2477.3000000000002</v>
      </c>
      <c r="I11" s="60">
        <f t="shared" ref="I11:I74" si="0">H11/F11*100</f>
        <v>100</v>
      </c>
    </row>
    <row r="12" spans="1:11" s="119" customFormat="1">
      <c r="A12" s="70" t="s">
        <v>34</v>
      </c>
      <c r="B12" s="71" t="s">
        <v>69</v>
      </c>
      <c r="C12" s="71" t="s">
        <v>431</v>
      </c>
      <c r="D12" s="71" t="s">
        <v>193</v>
      </c>
      <c r="E12" s="71"/>
      <c r="F12" s="72">
        <f t="shared" ref="F12:H15" si="1">F13</f>
        <v>2282</v>
      </c>
      <c r="G12" s="72">
        <f t="shared" si="1"/>
        <v>1591.2740799999999</v>
      </c>
      <c r="H12" s="72">
        <f t="shared" si="1"/>
        <v>2282</v>
      </c>
      <c r="I12" s="72">
        <f t="shared" si="0"/>
        <v>100</v>
      </c>
    </row>
    <row r="13" spans="1:11" s="119" customFormat="1">
      <c r="A13" s="58" t="s">
        <v>98</v>
      </c>
      <c r="B13" s="59" t="s">
        <v>69</v>
      </c>
      <c r="C13" s="59" t="s">
        <v>431</v>
      </c>
      <c r="D13" s="59" t="s">
        <v>194</v>
      </c>
      <c r="E13" s="59"/>
      <c r="F13" s="60">
        <f t="shared" si="1"/>
        <v>2282</v>
      </c>
      <c r="G13" s="60">
        <f t="shared" si="1"/>
        <v>1591.2740799999999</v>
      </c>
      <c r="H13" s="60">
        <f t="shared" si="1"/>
        <v>2282</v>
      </c>
      <c r="I13" s="60">
        <f t="shared" si="0"/>
        <v>100</v>
      </c>
    </row>
    <row r="14" spans="1:11" s="119" customFormat="1">
      <c r="A14" s="87" t="s">
        <v>278</v>
      </c>
      <c r="B14" s="83" t="s">
        <v>69</v>
      </c>
      <c r="C14" s="83" t="s">
        <v>431</v>
      </c>
      <c r="D14" s="83" t="s">
        <v>195</v>
      </c>
      <c r="E14" s="66"/>
      <c r="F14" s="88">
        <f t="shared" si="1"/>
        <v>2282</v>
      </c>
      <c r="G14" s="88">
        <f t="shared" si="1"/>
        <v>1591.2740799999999</v>
      </c>
      <c r="H14" s="88">
        <f t="shared" si="1"/>
        <v>2282</v>
      </c>
      <c r="I14" s="88">
        <f t="shared" si="0"/>
        <v>100</v>
      </c>
    </row>
    <row r="15" spans="1:11" s="119" customFormat="1">
      <c r="A15" s="114" t="s">
        <v>30</v>
      </c>
      <c r="B15" s="115" t="s">
        <v>69</v>
      </c>
      <c r="C15" s="115" t="s">
        <v>431</v>
      </c>
      <c r="D15" s="115" t="s">
        <v>196</v>
      </c>
      <c r="E15" s="116"/>
      <c r="F15" s="60">
        <f t="shared" si="1"/>
        <v>2282</v>
      </c>
      <c r="G15" s="60">
        <f t="shared" si="1"/>
        <v>1591.2740799999999</v>
      </c>
      <c r="H15" s="60">
        <f t="shared" si="1"/>
        <v>2282</v>
      </c>
      <c r="I15" s="60">
        <f t="shared" si="0"/>
        <v>100</v>
      </c>
    </row>
    <row r="16" spans="1:11" s="119" customFormat="1" ht="24">
      <c r="A16" s="65" t="s">
        <v>72</v>
      </c>
      <c r="B16" s="66" t="s">
        <v>69</v>
      </c>
      <c r="C16" s="66" t="s">
        <v>431</v>
      </c>
      <c r="D16" s="66" t="s">
        <v>197</v>
      </c>
      <c r="E16" s="66" t="s">
        <v>73</v>
      </c>
      <c r="F16" s="67">
        <f>F17</f>
        <v>2282</v>
      </c>
      <c r="G16" s="67">
        <f>G17</f>
        <v>1591.2740799999999</v>
      </c>
      <c r="H16" s="67">
        <f>H17</f>
        <v>2282</v>
      </c>
      <c r="I16" s="67">
        <f t="shared" si="0"/>
        <v>100</v>
      </c>
    </row>
    <row r="17" spans="1:9" s="119" customFormat="1">
      <c r="A17" s="65" t="s">
        <v>74</v>
      </c>
      <c r="B17" s="66" t="s">
        <v>69</v>
      </c>
      <c r="C17" s="66" t="s">
        <v>431</v>
      </c>
      <c r="D17" s="66" t="s">
        <v>197</v>
      </c>
      <c r="E17" s="66" t="s">
        <v>75</v>
      </c>
      <c r="F17" s="67">
        <v>2282</v>
      </c>
      <c r="G17" s="67">
        <v>1591.2740799999999</v>
      </c>
      <c r="H17" s="67">
        <v>2282</v>
      </c>
      <c r="I17" s="67">
        <f t="shared" si="0"/>
        <v>100</v>
      </c>
    </row>
    <row r="18" spans="1:9" s="23" customFormat="1">
      <c r="A18" s="133" t="s">
        <v>774</v>
      </c>
      <c r="B18" s="258" t="s">
        <v>69</v>
      </c>
      <c r="C18" s="258" t="s">
        <v>431</v>
      </c>
      <c r="D18" s="132" t="s">
        <v>769</v>
      </c>
      <c r="E18" s="132"/>
      <c r="F18" s="158">
        <f t="shared" ref="F18:H19" si="2">F19</f>
        <v>195.3</v>
      </c>
      <c r="G18" s="324">
        <f t="shared" si="2"/>
        <v>0</v>
      </c>
      <c r="H18" s="158">
        <f t="shared" si="2"/>
        <v>195.3</v>
      </c>
      <c r="I18" s="158">
        <f t="shared" si="0"/>
        <v>100</v>
      </c>
    </row>
    <row r="19" spans="1:9" s="23" customFormat="1" ht="24">
      <c r="A19" s="131" t="s">
        <v>72</v>
      </c>
      <c r="B19" s="22" t="s">
        <v>69</v>
      </c>
      <c r="C19" s="22" t="s">
        <v>431</v>
      </c>
      <c r="D19" s="22" t="s">
        <v>769</v>
      </c>
      <c r="E19" s="22" t="s">
        <v>73</v>
      </c>
      <c r="F19" s="156">
        <f t="shared" si="2"/>
        <v>195.3</v>
      </c>
      <c r="G19" s="323">
        <f t="shared" si="2"/>
        <v>0</v>
      </c>
      <c r="H19" s="156">
        <f t="shared" si="2"/>
        <v>195.3</v>
      </c>
      <c r="I19" s="156">
        <f t="shared" si="0"/>
        <v>100</v>
      </c>
    </row>
    <row r="20" spans="1:9" s="23" customFormat="1">
      <c r="A20" s="131" t="s">
        <v>74</v>
      </c>
      <c r="B20" s="22" t="s">
        <v>69</v>
      </c>
      <c r="C20" s="22" t="s">
        <v>431</v>
      </c>
      <c r="D20" s="22" t="s">
        <v>769</v>
      </c>
      <c r="E20" s="22" t="s">
        <v>75</v>
      </c>
      <c r="F20" s="156">
        <v>195.3</v>
      </c>
      <c r="G20" s="323">
        <v>0</v>
      </c>
      <c r="H20" s="156">
        <v>195.3</v>
      </c>
      <c r="I20" s="156">
        <f t="shared" si="0"/>
        <v>100</v>
      </c>
    </row>
    <row r="21" spans="1:9" s="119" customFormat="1" ht="24">
      <c r="A21" s="58" t="s">
        <v>279</v>
      </c>
      <c r="B21" s="59" t="s">
        <v>69</v>
      </c>
      <c r="C21" s="59" t="s">
        <v>423</v>
      </c>
      <c r="D21" s="59"/>
      <c r="E21" s="59"/>
      <c r="F21" s="60">
        <f t="shared" ref="F21:H21" si="3">F22</f>
        <v>31106</v>
      </c>
      <c r="G21" s="60">
        <f t="shared" si="3"/>
        <v>21687.248090000001</v>
      </c>
      <c r="H21" s="60">
        <f t="shared" si="3"/>
        <v>31106</v>
      </c>
      <c r="I21" s="60">
        <f t="shared" si="0"/>
        <v>100</v>
      </c>
    </row>
    <row r="22" spans="1:9" s="119" customFormat="1" ht="13.5">
      <c r="A22" s="70" t="s">
        <v>29</v>
      </c>
      <c r="B22" s="71" t="s">
        <v>69</v>
      </c>
      <c r="C22" s="71" t="s">
        <v>423</v>
      </c>
      <c r="D22" s="95" t="s">
        <v>198</v>
      </c>
      <c r="E22" s="91"/>
      <c r="F22" s="72">
        <f>F23</f>
        <v>31106</v>
      </c>
      <c r="G22" s="72">
        <f>G23</f>
        <v>21687.248090000001</v>
      </c>
      <c r="H22" s="72">
        <f>H23</f>
        <v>31106</v>
      </c>
      <c r="I22" s="72">
        <f t="shared" si="0"/>
        <v>100</v>
      </c>
    </row>
    <row r="23" spans="1:9" s="119" customFormat="1">
      <c r="A23" s="58" t="s">
        <v>98</v>
      </c>
      <c r="B23" s="59" t="s">
        <v>69</v>
      </c>
      <c r="C23" s="59" t="s">
        <v>423</v>
      </c>
      <c r="D23" s="117" t="s">
        <v>121</v>
      </c>
      <c r="E23" s="94"/>
      <c r="F23" s="60">
        <f>F24+F27</f>
        <v>31106</v>
      </c>
      <c r="G23" s="60">
        <f>G24+G27</f>
        <v>21687.248090000001</v>
      </c>
      <c r="H23" s="60">
        <f>H24+H27</f>
        <v>31106</v>
      </c>
      <c r="I23" s="60">
        <f t="shared" si="0"/>
        <v>100</v>
      </c>
    </row>
    <row r="24" spans="1:9" s="119" customFormat="1">
      <c r="A24" s="114" t="s">
        <v>30</v>
      </c>
      <c r="B24" s="115" t="s">
        <v>69</v>
      </c>
      <c r="C24" s="115" t="s">
        <v>423</v>
      </c>
      <c r="D24" s="115" t="s">
        <v>202</v>
      </c>
      <c r="E24" s="116"/>
      <c r="F24" s="60">
        <f t="shared" ref="F24:H25" si="4">F25</f>
        <v>25363</v>
      </c>
      <c r="G24" s="60">
        <f t="shared" si="4"/>
        <v>18768.086070000001</v>
      </c>
      <c r="H24" s="60">
        <f t="shared" si="4"/>
        <v>25363</v>
      </c>
      <c r="I24" s="60">
        <f t="shared" si="0"/>
        <v>100</v>
      </c>
    </row>
    <row r="25" spans="1:9" s="119" customFormat="1" ht="24">
      <c r="A25" s="65" t="s">
        <v>72</v>
      </c>
      <c r="B25" s="66" t="s">
        <v>69</v>
      </c>
      <c r="C25" s="66" t="s">
        <v>423</v>
      </c>
      <c r="D25" s="66" t="s">
        <v>202</v>
      </c>
      <c r="E25" s="66" t="s">
        <v>73</v>
      </c>
      <c r="F25" s="67">
        <f t="shared" si="4"/>
        <v>25363</v>
      </c>
      <c r="G25" s="67">
        <f t="shared" si="4"/>
        <v>18768.086070000001</v>
      </c>
      <c r="H25" s="67">
        <f t="shared" si="4"/>
        <v>25363</v>
      </c>
      <c r="I25" s="67">
        <f t="shared" si="0"/>
        <v>100</v>
      </c>
    </row>
    <row r="26" spans="1:9" s="119" customFormat="1">
      <c r="A26" s="65" t="s">
        <v>74</v>
      </c>
      <c r="B26" s="66" t="s">
        <v>69</v>
      </c>
      <c r="C26" s="66" t="s">
        <v>423</v>
      </c>
      <c r="D26" s="66" t="s">
        <v>202</v>
      </c>
      <c r="E26" s="66" t="s">
        <v>75</v>
      </c>
      <c r="F26" s="67">
        <f>16647+100+100+750+5558+2058+150</f>
        <v>25363</v>
      </c>
      <c r="G26" s="67">
        <v>18768.086070000001</v>
      </c>
      <c r="H26" s="67">
        <f>16647+100+100+750+5558+2058+150</f>
        <v>25363</v>
      </c>
      <c r="I26" s="67">
        <f t="shared" si="0"/>
        <v>100</v>
      </c>
    </row>
    <row r="27" spans="1:9" s="119" customFormat="1">
      <c r="A27" s="58" t="s">
        <v>125</v>
      </c>
      <c r="B27" s="59" t="s">
        <v>69</v>
      </c>
      <c r="C27" s="59" t="s">
        <v>423</v>
      </c>
      <c r="D27" s="59" t="s">
        <v>203</v>
      </c>
      <c r="E27" s="66"/>
      <c r="F27" s="60">
        <f>F28+F30</f>
        <v>5743</v>
      </c>
      <c r="G27" s="60">
        <f>G28+G30</f>
        <v>2919.1620199999998</v>
      </c>
      <c r="H27" s="60">
        <f>H28+H30</f>
        <v>5743</v>
      </c>
      <c r="I27" s="60">
        <f t="shared" si="0"/>
        <v>100</v>
      </c>
    </row>
    <row r="28" spans="1:9" s="119" customFormat="1">
      <c r="A28" s="65" t="s">
        <v>486</v>
      </c>
      <c r="B28" s="66" t="s">
        <v>69</v>
      </c>
      <c r="C28" s="66" t="s">
        <v>423</v>
      </c>
      <c r="D28" s="66" t="s">
        <v>203</v>
      </c>
      <c r="E28" s="66" t="s">
        <v>77</v>
      </c>
      <c r="F28" s="67">
        <f>F29</f>
        <v>5723</v>
      </c>
      <c r="G28" s="67">
        <f>G29</f>
        <v>2908.4530199999999</v>
      </c>
      <c r="H28" s="67">
        <f>H29</f>
        <v>5723</v>
      </c>
      <c r="I28" s="67">
        <f t="shared" si="0"/>
        <v>100</v>
      </c>
    </row>
    <row r="29" spans="1:9" s="119" customFormat="1">
      <c r="A29" s="65" t="s">
        <v>78</v>
      </c>
      <c r="B29" s="66" t="s">
        <v>69</v>
      </c>
      <c r="C29" s="66" t="s">
        <v>423</v>
      </c>
      <c r="D29" s="66" t="s">
        <v>203</v>
      </c>
      <c r="E29" s="66" t="s">
        <v>79</v>
      </c>
      <c r="F29" s="67">
        <f>3873+2000-100+100-150</f>
        <v>5723</v>
      </c>
      <c r="G29" s="67">
        <v>2908.4530199999999</v>
      </c>
      <c r="H29" s="67">
        <f>3873+2000-100+100-150</f>
        <v>5723</v>
      </c>
      <c r="I29" s="67">
        <f t="shared" si="0"/>
        <v>100</v>
      </c>
    </row>
    <row r="30" spans="1:9" s="119" customFormat="1">
      <c r="A30" s="65" t="s">
        <v>80</v>
      </c>
      <c r="B30" s="66" t="s">
        <v>69</v>
      </c>
      <c r="C30" s="66" t="s">
        <v>423</v>
      </c>
      <c r="D30" s="66" t="s">
        <v>203</v>
      </c>
      <c r="E30" s="66" t="s">
        <v>81</v>
      </c>
      <c r="F30" s="67">
        <f>F31</f>
        <v>20</v>
      </c>
      <c r="G30" s="67">
        <f>G31</f>
        <v>10.709</v>
      </c>
      <c r="H30" s="67">
        <f>H31</f>
        <v>20</v>
      </c>
      <c r="I30" s="67">
        <f t="shared" si="0"/>
        <v>100</v>
      </c>
    </row>
    <row r="31" spans="1:9" s="119" customFormat="1">
      <c r="A31" s="65" t="s">
        <v>445</v>
      </c>
      <c r="B31" s="66" t="s">
        <v>69</v>
      </c>
      <c r="C31" s="66" t="s">
        <v>423</v>
      </c>
      <c r="D31" s="66" t="s">
        <v>203</v>
      </c>
      <c r="E31" s="66" t="s">
        <v>82</v>
      </c>
      <c r="F31" s="67">
        <f>520-500</f>
        <v>20</v>
      </c>
      <c r="G31" s="67">
        <v>10.709</v>
      </c>
      <c r="H31" s="67">
        <f>520-500</f>
        <v>20</v>
      </c>
      <c r="I31" s="67">
        <f t="shared" si="0"/>
        <v>100</v>
      </c>
    </row>
    <row r="32" spans="1:9" s="119" customFormat="1" ht="24">
      <c r="A32" s="58" t="s">
        <v>280</v>
      </c>
      <c r="B32" s="59" t="s">
        <v>69</v>
      </c>
      <c r="C32" s="59" t="s">
        <v>71</v>
      </c>
      <c r="D32" s="59"/>
      <c r="E32" s="59"/>
      <c r="F32" s="60">
        <f>F33+F39</f>
        <v>163174.50625999997</v>
      </c>
      <c r="G32" s="60">
        <f>G33+G39</f>
        <v>124535.69402999998</v>
      </c>
      <c r="H32" s="60">
        <f>H33+H39</f>
        <v>163174.50625999997</v>
      </c>
      <c r="I32" s="60">
        <f t="shared" si="0"/>
        <v>100</v>
      </c>
    </row>
    <row r="33" spans="1:9" s="119" customFormat="1">
      <c r="A33" s="89" t="s">
        <v>67</v>
      </c>
      <c r="B33" s="71" t="s">
        <v>69</v>
      </c>
      <c r="C33" s="71" t="s">
        <v>71</v>
      </c>
      <c r="D33" s="71" t="s">
        <v>184</v>
      </c>
      <c r="E33" s="71"/>
      <c r="F33" s="72">
        <f t="shared" ref="F33:H37" si="5">F34</f>
        <v>1850</v>
      </c>
      <c r="G33" s="72">
        <f t="shared" si="5"/>
        <v>1548.6597099999999</v>
      </c>
      <c r="H33" s="72">
        <f t="shared" si="5"/>
        <v>1850</v>
      </c>
      <c r="I33" s="72">
        <f t="shared" si="0"/>
        <v>100</v>
      </c>
    </row>
    <row r="34" spans="1:9" s="119" customFormat="1">
      <c r="A34" s="73" t="s">
        <v>272</v>
      </c>
      <c r="B34" s="59" t="s">
        <v>69</v>
      </c>
      <c r="C34" s="59" t="s">
        <v>71</v>
      </c>
      <c r="D34" s="59" t="s">
        <v>185</v>
      </c>
      <c r="E34" s="59"/>
      <c r="F34" s="60">
        <f t="shared" si="5"/>
        <v>1850</v>
      </c>
      <c r="G34" s="60">
        <f t="shared" si="5"/>
        <v>1548.6597099999999</v>
      </c>
      <c r="H34" s="60">
        <f t="shared" si="5"/>
        <v>1850</v>
      </c>
      <c r="I34" s="60">
        <f t="shared" si="0"/>
        <v>100</v>
      </c>
    </row>
    <row r="35" spans="1:9" s="119" customFormat="1">
      <c r="A35" s="70" t="s">
        <v>281</v>
      </c>
      <c r="B35" s="71" t="s">
        <v>69</v>
      </c>
      <c r="C35" s="71" t="s">
        <v>71</v>
      </c>
      <c r="D35" s="71" t="s">
        <v>185</v>
      </c>
      <c r="E35" s="83"/>
      <c r="F35" s="72">
        <f t="shared" si="5"/>
        <v>1850</v>
      </c>
      <c r="G35" s="72">
        <f t="shared" si="5"/>
        <v>1548.6597099999999</v>
      </c>
      <c r="H35" s="72">
        <f t="shared" si="5"/>
        <v>1850</v>
      </c>
      <c r="I35" s="72">
        <f t="shared" si="0"/>
        <v>100</v>
      </c>
    </row>
    <row r="36" spans="1:9" s="119" customFormat="1">
      <c r="A36" s="73" t="s">
        <v>271</v>
      </c>
      <c r="B36" s="59" t="s">
        <v>69</v>
      </c>
      <c r="C36" s="59" t="s">
        <v>71</v>
      </c>
      <c r="D36" s="59" t="s">
        <v>186</v>
      </c>
      <c r="E36" s="59"/>
      <c r="F36" s="60">
        <f t="shared" si="5"/>
        <v>1850</v>
      </c>
      <c r="G36" s="60">
        <f t="shared" si="5"/>
        <v>1548.6597099999999</v>
      </c>
      <c r="H36" s="60">
        <f t="shared" si="5"/>
        <v>1850</v>
      </c>
      <c r="I36" s="60">
        <f t="shared" si="0"/>
        <v>100</v>
      </c>
    </row>
    <row r="37" spans="1:9" s="119" customFormat="1" ht="24">
      <c r="A37" s="65" t="s">
        <v>72</v>
      </c>
      <c r="B37" s="66" t="s">
        <v>69</v>
      </c>
      <c r="C37" s="66" t="s">
        <v>71</v>
      </c>
      <c r="D37" s="66" t="s">
        <v>186</v>
      </c>
      <c r="E37" s="66" t="s">
        <v>73</v>
      </c>
      <c r="F37" s="67">
        <f t="shared" si="5"/>
        <v>1850</v>
      </c>
      <c r="G37" s="67">
        <f t="shared" si="5"/>
        <v>1548.6597099999999</v>
      </c>
      <c r="H37" s="67">
        <f t="shared" si="5"/>
        <v>1850</v>
      </c>
      <c r="I37" s="67">
        <f t="shared" si="0"/>
        <v>100</v>
      </c>
    </row>
    <row r="38" spans="1:9" s="119" customFormat="1">
      <c r="A38" s="65" t="s">
        <v>74</v>
      </c>
      <c r="B38" s="66" t="s">
        <v>69</v>
      </c>
      <c r="C38" s="66" t="s">
        <v>71</v>
      </c>
      <c r="D38" s="66" t="s">
        <v>186</v>
      </c>
      <c r="E38" s="66" t="s">
        <v>75</v>
      </c>
      <c r="F38" s="67">
        <v>1850</v>
      </c>
      <c r="G38" s="67">
        <v>1548.6597099999999</v>
      </c>
      <c r="H38" s="67">
        <v>1850</v>
      </c>
      <c r="I38" s="67">
        <f t="shared" si="0"/>
        <v>100</v>
      </c>
    </row>
    <row r="39" spans="1:9" s="119" customFormat="1">
      <c r="A39" s="89" t="s">
        <v>67</v>
      </c>
      <c r="B39" s="71" t="s">
        <v>69</v>
      </c>
      <c r="C39" s="71" t="s">
        <v>71</v>
      </c>
      <c r="D39" s="71" t="s">
        <v>187</v>
      </c>
      <c r="E39" s="71"/>
      <c r="F39" s="72">
        <f>F40</f>
        <v>161324.50625999997</v>
      </c>
      <c r="G39" s="72">
        <f>G40</f>
        <v>122987.03431999999</v>
      </c>
      <c r="H39" s="72">
        <f>H40</f>
        <v>161324.50625999997</v>
      </c>
      <c r="I39" s="72">
        <f t="shared" si="0"/>
        <v>100</v>
      </c>
    </row>
    <row r="40" spans="1:9" s="119" customFormat="1">
      <c r="A40" s="73" t="s">
        <v>272</v>
      </c>
      <c r="B40" s="59" t="s">
        <v>69</v>
      </c>
      <c r="C40" s="59" t="s">
        <v>71</v>
      </c>
      <c r="D40" s="59" t="s">
        <v>188</v>
      </c>
      <c r="E40" s="71"/>
      <c r="F40" s="60">
        <f>F41+F44+F49+F52</f>
        <v>161324.50625999997</v>
      </c>
      <c r="G40" s="60">
        <f>G41+G44+G49+G52</f>
        <v>122987.03431999999</v>
      </c>
      <c r="H40" s="60">
        <f>H41+H44+H49+H52</f>
        <v>161324.50625999997</v>
      </c>
      <c r="I40" s="60">
        <f t="shared" si="0"/>
        <v>100</v>
      </c>
    </row>
    <row r="41" spans="1:9" s="119" customFormat="1">
      <c r="A41" s="73" t="s">
        <v>26</v>
      </c>
      <c r="B41" s="59" t="s">
        <v>69</v>
      </c>
      <c r="C41" s="59" t="s">
        <v>71</v>
      </c>
      <c r="D41" s="59" t="s">
        <v>189</v>
      </c>
      <c r="E41" s="59"/>
      <c r="F41" s="60">
        <f t="shared" ref="F41:H42" si="6">F42</f>
        <v>130178.28825999999</v>
      </c>
      <c r="G41" s="60">
        <f t="shared" si="6"/>
        <v>103704.23155</v>
      </c>
      <c r="H41" s="60">
        <f t="shared" si="6"/>
        <v>130178.28825999999</v>
      </c>
      <c r="I41" s="60">
        <f t="shared" si="0"/>
        <v>100</v>
      </c>
    </row>
    <row r="42" spans="1:9" s="119" customFormat="1" ht="24">
      <c r="A42" s="65" t="s">
        <v>72</v>
      </c>
      <c r="B42" s="66" t="s">
        <v>69</v>
      </c>
      <c r="C42" s="66" t="s">
        <v>71</v>
      </c>
      <c r="D42" s="66" t="s">
        <v>189</v>
      </c>
      <c r="E42" s="66" t="s">
        <v>73</v>
      </c>
      <c r="F42" s="67">
        <f t="shared" si="6"/>
        <v>130178.28825999999</v>
      </c>
      <c r="G42" s="67">
        <f t="shared" si="6"/>
        <v>103704.23155</v>
      </c>
      <c r="H42" s="67">
        <f t="shared" si="6"/>
        <v>130178.28825999999</v>
      </c>
      <c r="I42" s="67">
        <f t="shared" si="0"/>
        <v>100</v>
      </c>
    </row>
    <row r="43" spans="1:9" s="119" customFormat="1">
      <c r="A43" s="65" t="s">
        <v>74</v>
      </c>
      <c r="B43" s="66" t="s">
        <v>69</v>
      </c>
      <c r="C43" s="66" t="s">
        <v>71</v>
      </c>
      <c r="D43" s="66" t="s">
        <v>189</v>
      </c>
      <c r="E43" s="66" t="s">
        <v>75</v>
      </c>
      <c r="F43" s="67">
        <f>70691+7749.4+7568.8+8481.2+8860+13030+677.3+204+1348.3+418.7+891.9+269.8+1803.8+545.4+8150.16226+1152-100-827.558-735.916</f>
        <v>130178.28825999999</v>
      </c>
      <c r="G43" s="67">
        <v>103704.23155</v>
      </c>
      <c r="H43" s="67">
        <f>70691+7749.4+7568.8+8481.2+8860+13030+677.3+204+1348.3+418.7+891.9+269.8+1803.8+545.4+8150.16226+1152-100-827.558-735.916</f>
        <v>130178.28825999999</v>
      </c>
      <c r="I43" s="67">
        <f t="shared" si="0"/>
        <v>100</v>
      </c>
    </row>
    <row r="44" spans="1:9" s="119" customFormat="1">
      <c r="A44" s="58" t="s">
        <v>76</v>
      </c>
      <c r="B44" s="59" t="s">
        <v>69</v>
      </c>
      <c r="C44" s="59" t="s">
        <v>71</v>
      </c>
      <c r="D44" s="59" t="s">
        <v>190</v>
      </c>
      <c r="E44" s="59"/>
      <c r="F44" s="60">
        <f>F45+F47</f>
        <v>27148.799999999999</v>
      </c>
      <c r="G44" s="60">
        <f>G45+G47</f>
        <v>16446.559089999999</v>
      </c>
      <c r="H44" s="60">
        <f>H45+H47</f>
        <v>27148.799999999999</v>
      </c>
      <c r="I44" s="60">
        <f t="shared" si="0"/>
        <v>100</v>
      </c>
    </row>
    <row r="45" spans="1:9" s="119" customFormat="1">
      <c r="A45" s="65" t="s">
        <v>486</v>
      </c>
      <c r="B45" s="66" t="s">
        <v>69</v>
      </c>
      <c r="C45" s="66" t="s">
        <v>71</v>
      </c>
      <c r="D45" s="66" t="s">
        <v>190</v>
      </c>
      <c r="E45" s="66" t="s">
        <v>77</v>
      </c>
      <c r="F45" s="67">
        <f>F46</f>
        <v>24813.8</v>
      </c>
      <c r="G45" s="67">
        <f>G46</f>
        <v>15411.937099999999</v>
      </c>
      <c r="H45" s="67">
        <f>H46</f>
        <v>24813.8</v>
      </c>
      <c r="I45" s="67">
        <f t="shared" si="0"/>
        <v>100</v>
      </c>
    </row>
    <row r="46" spans="1:9" s="119" customFormat="1">
      <c r="A46" s="65" t="s">
        <v>78</v>
      </c>
      <c r="B46" s="66" t="s">
        <v>69</v>
      </c>
      <c r="C46" s="66" t="s">
        <v>71</v>
      </c>
      <c r="D46" s="66" t="s">
        <v>190</v>
      </c>
      <c r="E46" s="66" t="s">
        <v>79</v>
      </c>
      <c r="F46" s="67">
        <f>17305+2148.8+1955+455+496+885+100+100+69+75+100+20+300+25+120+110+450+50+50</f>
        <v>24813.8</v>
      </c>
      <c r="G46" s="67">
        <v>15411.937099999999</v>
      </c>
      <c r="H46" s="67">
        <f>17305+2148.8+1955+455+496+885+100+100+69+75+100+20+300+25+120+110+450+50+50</f>
        <v>24813.8</v>
      </c>
      <c r="I46" s="67">
        <f t="shared" si="0"/>
        <v>100</v>
      </c>
    </row>
    <row r="47" spans="1:9" s="119" customFormat="1">
      <c r="A47" s="65" t="s">
        <v>80</v>
      </c>
      <c r="B47" s="66" t="s">
        <v>69</v>
      </c>
      <c r="C47" s="66" t="s">
        <v>71</v>
      </c>
      <c r="D47" s="66" t="s">
        <v>190</v>
      </c>
      <c r="E47" s="66" t="s">
        <v>81</v>
      </c>
      <c r="F47" s="67">
        <f>F48</f>
        <v>2335</v>
      </c>
      <c r="G47" s="67">
        <f>G48</f>
        <v>1034.6219900000001</v>
      </c>
      <c r="H47" s="67">
        <f>H48</f>
        <v>2335</v>
      </c>
      <c r="I47" s="67">
        <f t="shared" si="0"/>
        <v>100</v>
      </c>
    </row>
    <row r="48" spans="1:9" s="119" customFormat="1">
      <c r="A48" s="65" t="s">
        <v>445</v>
      </c>
      <c r="B48" s="66" t="s">
        <v>69</v>
      </c>
      <c r="C48" s="66" t="s">
        <v>71</v>
      </c>
      <c r="D48" s="66" t="s">
        <v>190</v>
      </c>
      <c r="E48" s="66" t="s">
        <v>82</v>
      </c>
      <c r="F48" s="67">
        <f>640+27.5+145+5+12.5+5+500+1000</f>
        <v>2335</v>
      </c>
      <c r="G48" s="67">
        <v>1034.6219900000001</v>
      </c>
      <c r="H48" s="67">
        <f>640+27.5+145+5+12.5+5+500+1000</f>
        <v>2335</v>
      </c>
      <c r="I48" s="67">
        <f t="shared" si="0"/>
        <v>100</v>
      </c>
    </row>
    <row r="49" spans="1:9" s="119" customFormat="1" ht="24">
      <c r="A49" s="70" t="s">
        <v>720</v>
      </c>
      <c r="B49" s="71" t="s">
        <v>69</v>
      </c>
      <c r="C49" s="71" t="s">
        <v>71</v>
      </c>
      <c r="D49" s="71" t="s">
        <v>721</v>
      </c>
      <c r="E49" s="71"/>
      <c r="F49" s="72">
        <f t="shared" ref="F49:H50" si="7">F50</f>
        <v>13.05</v>
      </c>
      <c r="G49" s="72">
        <f t="shared" si="7"/>
        <v>13.05</v>
      </c>
      <c r="H49" s="72">
        <f t="shared" si="7"/>
        <v>13.05</v>
      </c>
      <c r="I49" s="72">
        <f t="shared" si="0"/>
        <v>100</v>
      </c>
    </row>
    <row r="50" spans="1:9" s="119" customFormat="1" ht="24">
      <c r="A50" s="65" t="s">
        <v>72</v>
      </c>
      <c r="B50" s="66" t="s">
        <v>69</v>
      </c>
      <c r="C50" s="66" t="s">
        <v>71</v>
      </c>
      <c r="D50" s="66" t="s">
        <v>721</v>
      </c>
      <c r="E50" s="66" t="s">
        <v>73</v>
      </c>
      <c r="F50" s="67">
        <f t="shared" si="7"/>
        <v>13.05</v>
      </c>
      <c r="G50" s="67">
        <f t="shared" si="7"/>
        <v>13.05</v>
      </c>
      <c r="H50" s="67">
        <f t="shared" si="7"/>
        <v>13.05</v>
      </c>
      <c r="I50" s="67">
        <f t="shared" si="0"/>
        <v>100</v>
      </c>
    </row>
    <row r="51" spans="1:9" s="119" customFormat="1">
      <c r="A51" s="65" t="s">
        <v>74</v>
      </c>
      <c r="B51" s="66" t="s">
        <v>69</v>
      </c>
      <c r="C51" s="66" t="s">
        <v>71</v>
      </c>
      <c r="D51" s="66" t="s">
        <v>721</v>
      </c>
      <c r="E51" s="66" t="s">
        <v>75</v>
      </c>
      <c r="F51" s="67">
        <v>13.05</v>
      </c>
      <c r="G51" s="67">
        <v>13.05</v>
      </c>
      <c r="H51" s="67">
        <v>13.05</v>
      </c>
      <c r="I51" s="67">
        <f t="shared" si="0"/>
        <v>100</v>
      </c>
    </row>
    <row r="52" spans="1:9" s="23" customFormat="1">
      <c r="A52" s="133" t="s">
        <v>774</v>
      </c>
      <c r="B52" s="132" t="s">
        <v>69</v>
      </c>
      <c r="C52" s="132" t="s">
        <v>71</v>
      </c>
      <c r="D52" s="132" t="s">
        <v>769</v>
      </c>
      <c r="E52" s="132"/>
      <c r="F52" s="158">
        <f t="shared" ref="F52:H53" si="8">F53</f>
        <v>3984.3679999999995</v>
      </c>
      <c r="G52" s="158">
        <f t="shared" si="8"/>
        <v>2823.1936799999999</v>
      </c>
      <c r="H52" s="158">
        <f t="shared" si="8"/>
        <v>3984.3679999999995</v>
      </c>
      <c r="I52" s="158">
        <f t="shared" si="0"/>
        <v>100</v>
      </c>
    </row>
    <row r="53" spans="1:9" s="23" customFormat="1" ht="24">
      <c r="A53" s="131" t="s">
        <v>72</v>
      </c>
      <c r="B53" s="22" t="s">
        <v>69</v>
      </c>
      <c r="C53" s="22" t="s">
        <v>71</v>
      </c>
      <c r="D53" s="22" t="s">
        <v>769</v>
      </c>
      <c r="E53" s="22" t="s">
        <v>73</v>
      </c>
      <c r="F53" s="156">
        <f t="shared" si="8"/>
        <v>3984.3679999999995</v>
      </c>
      <c r="G53" s="156">
        <f t="shared" si="8"/>
        <v>2823.1936799999999</v>
      </c>
      <c r="H53" s="156">
        <f t="shared" si="8"/>
        <v>3984.3679999999995</v>
      </c>
      <c r="I53" s="156">
        <f t="shared" si="0"/>
        <v>100</v>
      </c>
    </row>
    <row r="54" spans="1:9" s="23" customFormat="1">
      <c r="A54" s="131" t="s">
        <v>74</v>
      </c>
      <c r="B54" s="22" t="s">
        <v>69</v>
      </c>
      <c r="C54" s="22" t="s">
        <v>71</v>
      </c>
      <c r="D54" s="22" t="s">
        <v>769</v>
      </c>
      <c r="E54" s="22" t="s">
        <v>75</v>
      </c>
      <c r="F54" s="156">
        <f>2358.055+468.758+376.594+246.046+280.306+254.609</f>
        <v>3984.3679999999995</v>
      </c>
      <c r="G54" s="156">
        <v>2823.1936799999999</v>
      </c>
      <c r="H54" s="156">
        <f>2358.055+468.758+376.594+246.046+280.306+254.609</f>
        <v>3984.3679999999995</v>
      </c>
      <c r="I54" s="156">
        <f t="shared" si="0"/>
        <v>100</v>
      </c>
    </row>
    <row r="55" spans="1:9" s="119" customFormat="1">
      <c r="A55" s="58" t="s">
        <v>395</v>
      </c>
      <c r="B55" s="59" t="s">
        <v>69</v>
      </c>
      <c r="C55" s="59" t="s">
        <v>376</v>
      </c>
      <c r="D55" s="59"/>
      <c r="E55" s="59"/>
      <c r="F55" s="78">
        <f t="shared" ref="F55:H59" si="9">F56</f>
        <v>182.7</v>
      </c>
      <c r="G55" s="78">
        <f t="shared" si="9"/>
        <v>0</v>
      </c>
      <c r="H55" s="78">
        <f t="shared" si="9"/>
        <v>182.7</v>
      </c>
      <c r="I55" s="78">
        <f t="shared" si="0"/>
        <v>100</v>
      </c>
    </row>
    <row r="56" spans="1:9" s="119" customFormat="1">
      <c r="A56" s="89" t="s">
        <v>67</v>
      </c>
      <c r="B56" s="71" t="s">
        <v>69</v>
      </c>
      <c r="C56" s="71" t="s">
        <v>376</v>
      </c>
      <c r="D56" s="71" t="s">
        <v>187</v>
      </c>
      <c r="E56" s="66"/>
      <c r="F56" s="80">
        <f t="shared" si="9"/>
        <v>182.7</v>
      </c>
      <c r="G56" s="80">
        <f t="shared" si="9"/>
        <v>0</v>
      </c>
      <c r="H56" s="80">
        <f t="shared" si="9"/>
        <v>182.7</v>
      </c>
      <c r="I56" s="80">
        <f t="shared" si="0"/>
        <v>100</v>
      </c>
    </row>
    <row r="57" spans="1:9" s="119" customFormat="1">
      <c r="A57" s="73" t="s">
        <v>272</v>
      </c>
      <c r="B57" s="59" t="s">
        <v>69</v>
      </c>
      <c r="C57" s="59" t="s">
        <v>376</v>
      </c>
      <c r="D57" s="59" t="s">
        <v>188</v>
      </c>
      <c r="E57" s="66"/>
      <c r="F57" s="78">
        <f t="shared" si="9"/>
        <v>182.7</v>
      </c>
      <c r="G57" s="78">
        <f t="shared" si="9"/>
        <v>0</v>
      </c>
      <c r="H57" s="78">
        <f t="shared" si="9"/>
        <v>182.7</v>
      </c>
      <c r="I57" s="78">
        <f t="shared" si="0"/>
        <v>100</v>
      </c>
    </row>
    <row r="58" spans="1:9" s="119" customFormat="1" ht="24">
      <c r="A58" s="58" t="s">
        <v>398</v>
      </c>
      <c r="B58" s="59" t="s">
        <v>69</v>
      </c>
      <c r="C58" s="59" t="s">
        <v>376</v>
      </c>
      <c r="D58" s="59" t="s">
        <v>313</v>
      </c>
      <c r="E58" s="59"/>
      <c r="F58" s="78">
        <f t="shared" si="9"/>
        <v>182.7</v>
      </c>
      <c r="G58" s="78">
        <f t="shared" si="9"/>
        <v>0</v>
      </c>
      <c r="H58" s="78">
        <f t="shared" si="9"/>
        <v>182.7</v>
      </c>
      <c r="I58" s="78">
        <f t="shared" si="0"/>
        <v>100</v>
      </c>
    </row>
    <row r="59" spans="1:9" s="119" customFormat="1">
      <c r="A59" s="65" t="s">
        <v>486</v>
      </c>
      <c r="B59" s="66" t="s">
        <v>69</v>
      </c>
      <c r="C59" s="66" t="s">
        <v>376</v>
      </c>
      <c r="D59" s="66" t="s">
        <v>313</v>
      </c>
      <c r="E59" s="66" t="s">
        <v>77</v>
      </c>
      <c r="F59" s="79">
        <f t="shared" si="9"/>
        <v>182.7</v>
      </c>
      <c r="G59" s="79">
        <f t="shared" si="9"/>
        <v>0</v>
      </c>
      <c r="H59" s="79">
        <f t="shared" si="9"/>
        <v>182.7</v>
      </c>
      <c r="I59" s="79">
        <f t="shared" si="0"/>
        <v>100</v>
      </c>
    </row>
    <row r="60" spans="1:9" s="119" customFormat="1">
      <c r="A60" s="65" t="s">
        <v>78</v>
      </c>
      <c r="B60" s="66" t="s">
        <v>69</v>
      </c>
      <c r="C60" s="66" t="s">
        <v>376</v>
      </c>
      <c r="D60" s="66" t="s">
        <v>313</v>
      </c>
      <c r="E60" s="66" t="s">
        <v>79</v>
      </c>
      <c r="F60" s="79">
        <v>182.7</v>
      </c>
      <c r="G60" s="79">
        <v>0</v>
      </c>
      <c r="H60" s="79">
        <v>182.7</v>
      </c>
      <c r="I60" s="79">
        <f t="shared" si="0"/>
        <v>100</v>
      </c>
    </row>
    <row r="61" spans="1:9" s="119" customFormat="1" ht="24">
      <c r="A61" s="58" t="s">
        <v>282</v>
      </c>
      <c r="B61" s="59" t="s">
        <v>69</v>
      </c>
      <c r="C61" s="59" t="s">
        <v>270</v>
      </c>
      <c r="D61" s="59"/>
      <c r="E61" s="59"/>
      <c r="F61" s="60">
        <f>F62+F72</f>
        <v>32359.664000000001</v>
      </c>
      <c r="G61" s="60">
        <f>G62+G72</f>
        <v>24790.199979999998</v>
      </c>
      <c r="H61" s="60">
        <f>H62+H72</f>
        <v>32359.664000000001</v>
      </c>
      <c r="I61" s="60">
        <f t="shared" si="0"/>
        <v>100</v>
      </c>
    </row>
    <row r="62" spans="1:9" s="119" customFormat="1" ht="24">
      <c r="A62" s="89" t="s">
        <v>348</v>
      </c>
      <c r="B62" s="71" t="s">
        <v>69</v>
      </c>
      <c r="C62" s="71" t="s">
        <v>270</v>
      </c>
      <c r="D62" s="71" t="s">
        <v>205</v>
      </c>
      <c r="E62" s="83"/>
      <c r="F62" s="72">
        <f>F63</f>
        <v>15155</v>
      </c>
      <c r="G62" s="72">
        <f>G63</f>
        <v>11698.144909999999</v>
      </c>
      <c r="H62" s="72">
        <f>H63</f>
        <v>15155</v>
      </c>
      <c r="I62" s="72">
        <f t="shared" si="0"/>
        <v>100</v>
      </c>
    </row>
    <row r="63" spans="1:9" s="119" customFormat="1">
      <c r="A63" s="73" t="s">
        <v>272</v>
      </c>
      <c r="B63" s="59" t="s">
        <v>69</v>
      </c>
      <c r="C63" s="59" t="s">
        <v>270</v>
      </c>
      <c r="D63" s="59" t="s">
        <v>206</v>
      </c>
      <c r="E63" s="59"/>
      <c r="F63" s="60">
        <f>F64+F67</f>
        <v>15155</v>
      </c>
      <c r="G63" s="60">
        <f>G64+G67</f>
        <v>11698.144909999999</v>
      </c>
      <c r="H63" s="60">
        <f>H64+H67</f>
        <v>15155</v>
      </c>
      <c r="I63" s="60">
        <f t="shared" si="0"/>
        <v>100</v>
      </c>
    </row>
    <row r="64" spans="1:9" s="119" customFormat="1" ht="24">
      <c r="A64" s="73" t="s">
        <v>37</v>
      </c>
      <c r="B64" s="59" t="s">
        <v>69</v>
      </c>
      <c r="C64" s="59" t="s">
        <v>270</v>
      </c>
      <c r="D64" s="59" t="s">
        <v>207</v>
      </c>
      <c r="E64" s="59"/>
      <c r="F64" s="60">
        <f t="shared" ref="F64:H65" si="10">F65</f>
        <v>13090</v>
      </c>
      <c r="G64" s="60">
        <f t="shared" si="10"/>
        <v>10389.383379999999</v>
      </c>
      <c r="H64" s="60">
        <f t="shared" si="10"/>
        <v>13090</v>
      </c>
      <c r="I64" s="60">
        <f t="shared" si="0"/>
        <v>100</v>
      </c>
    </row>
    <row r="65" spans="1:9" s="119" customFormat="1" ht="24">
      <c r="A65" s="65" t="s">
        <v>72</v>
      </c>
      <c r="B65" s="66" t="s">
        <v>69</v>
      </c>
      <c r="C65" s="66" t="s">
        <v>270</v>
      </c>
      <c r="D65" s="66" t="s">
        <v>207</v>
      </c>
      <c r="E65" s="66" t="s">
        <v>73</v>
      </c>
      <c r="F65" s="67">
        <f t="shared" si="10"/>
        <v>13090</v>
      </c>
      <c r="G65" s="67">
        <f t="shared" si="10"/>
        <v>10389.383379999999</v>
      </c>
      <c r="H65" s="67">
        <f t="shared" si="10"/>
        <v>13090</v>
      </c>
      <c r="I65" s="67">
        <f t="shared" si="0"/>
        <v>100</v>
      </c>
    </row>
    <row r="66" spans="1:9" s="119" customFormat="1">
      <c r="A66" s="65" t="s">
        <v>74</v>
      </c>
      <c r="B66" s="66" t="s">
        <v>69</v>
      </c>
      <c r="C66" s="66" t="s">
        <v>270</v>
      </c>
      <c r="D66" s="66" t="s">
        <v>207</v>
      </c>
      <c r="E66" s="66" t="s">
        <v>75</v>
      </c>
      <c r="F66" s="67">
        <f>10000+40+50+3000</f>
        <v>13090</v>
      </c>
      <c r="G66" s="67">
        <v>10389.383379999999</v>
      </c>
      <c r="H66" s="67">
        <f>10000+40+50+3000</f>
        <v>13090</v>
      </c>
      <c r="I66" s="67">
        <f t="shared" si="0"/>
        <v>100</v>
      </c>
    </row>
    <row r="67" spans="1:9" s="119" customFormat="1" ht="24">
      <c r="A67" s="58" t="s">
        <v>38</v>
      </c>
      <c r="B67" s="59" t="s">
        <v>69</v>
      </c>
      <c r="C67" s="59" t="s">
        <v>270</v>
      </c>
      <c r="D67" s="59" t="s">
        <v>208</v>
      </c>
      <c r="E67" s="59"/>
      <c r="F67" s="60">
        <f>F68+F70</f>
        <v>2065</v>
      </c>
      <c r="G67" s="60">
        <f>G68+G70</f>
        <v>1308.76153</v>
      </c>
      <c r="H67" s="60">
        <f>H68+H70</f>
        <v>2065</v>
      </c>
      <c r="I67" s="60">
        <f t="shared" si="0"/>
        <v>100</v>
      </c>
    </row>
    <row r="68" spans="1:9" s="119" customFormat="1">
      <c r="A68" s="65" t="s">
        <v>486</v>
      </c>
      <c r="B68" s="66" t="s">
        <v>69</v>
      </c>
      <c r="C68" s="66" t="s">
        <v>270</v>
      </c>
      <c r="D68" s="66" t="s">
        <v>208</v>
      </c>
      <c r="E68" s="66" t="s">
        <v>77</v>
      </c>
      <c r="F68" s="67">
        <f>F69</f>
        <v>2027</v>
      </c>
      <c r="G68" s="67">
        <f>G69</f>
        <v>1277.9385299999999</v>
      </c>
      <c r="H68" s="67">
        <f>H69</f>
        <v>2027</v>
      </c>
      <c r="I68" s="67">
        <f t="shared" si="0"/>
        <v>100</v>
      </c>
    </row>
    <row r="69" spans="1:9" s="119" customFormat="1">
      <c r="A69" s="65" t="s">
        <v>78</v>
      </c>
      <c r="B69" s="66" t="s">
        <v>69</v>
      </c>
      <c r="C69" s="66" t="s">
        <v>270</v>
      </c>
      <c r="D69" s="66" t="s">
        <v>208</v>
      </c>
      <c r="E69" s="66" t="s">
        <v>79</v>
      </c>
      <c r="F69" s="67">
        <f>2032-5</f>
        <v>2027</v>
      </c>
      <c r="G69" s="67">
        <v>1277.9385299999999</v>
      </c>
      <c r="H69" s="67">
        <f>2032-5</f>
        <v>2027</v>
      </c>
      <c r="I69" s="67">
        <f t="shared" si="0"/>
        <v>100</v>
      </c>
    </row>
    <row r="70" spans="1:9" s="119" customFormat="1">
      <c r="A70" s="65" t="s">
        <v>80</v>
      </c>
      <c r="B70" s="66" t="s">
        <v>69</v>
      </c>
      <c r="C70" s="66" t="s">
        <v>270</v>
      </c>
      <c r="D70" s="66" t="s">
        <v>208</v>
      </c>
      <c r="E70" s="66" t="s">
        <v>81</v>
      </c>
      <c r="F70" s="67">
        <f>F71</f>
        <v>38</v>
      </c>
      <c r="G70" s="67">
        <f>G71</f>
        <v>30.823</v>
      </c>
      <c r="H70" s="67">
        <f>H71</f>
        <v>38</v>
      </c>
      <c r="I70" s="67">
        <f t="shared" si="0"/>
        <v>100</v>
      </c>
    </row>
    <row r="71" spans="1:9" s="119" customFormat="1">
      <c r="A71" s="65" t="s">
        <v>445</v>
      </c>
      <c r="B71" s="66" t="s">
        <v>69</v>
      </c>
      <c r="C71" s="66" t="s">
        <v>270</v>
      </c>
      <c r="D71" s="66" t="s">
        <v>208</v>
      </c>
      <c r="E71" s="66" t="s">
        <v>82</v>
      </c>
      <c r="F71" s="67">
        <v>38</v>
      </c>
      <c r="G71" s="67">
        <v>30.823</v>
      </c>
      <c r="H71" s="67">
        <v>38</v>
      </c>
      <c r="I71" s="67">
        <f t="shared" si="0"/>
        <v>100</v>
      </c>
    </row>
    <row r="72" spans="1:9" s="119" customFormat="1">
      <c r="A72" s="89" t="s">
        <v>293</v>
      </c>
      <c r="B72" s="71" t="s">
        <v>69</v>
      </c>
      <c r="C72" s="71" t="s">
        <v>270</v>
      </c>
      <c r="D72" s="71" t="s">
        <v>187</v>
      </c>
      <c r="E72" s="108"/>
      <c r="F72" s="60">
        <f>F73</f>
        <v>17204.664000000001</v>
      </c>
      <c r="G72" s="60">
        <f>G73</f>
        <v>13092.055069999999</v>
      </c>
      <c r="H72" s="60">
        <f>H73</f>
        <v>17204.664000000001</v>
      </c>
      <c r="I72" s="60">
        <f t="shared" si="0"/>
        <v>100</v>
      </c>
    </row>
    <row r="73" spans="1:9" s="119" customFormat="1">
      <c r="A73" s="73" t="s">
        <v>272</v>
      </c>
      <c r="B73" s="59" t="s">
        <v>69</v>
      </c>
      <c r="C73" s="59" t="s">
        <v>270</v>
      </c>
      <c r="D73" s="59" t="s">
        <v>188</v>
      </c>
      <c r="E73" s="110"/>
      <c r="F73" s="72">
        <f>F74+F77+F82</f>
        <v>17204.664000000001</v>
      </c>
      <c r="G73" s="72">
        <f>G74+G77+G82</f>
        <v>13092.055069999999</v>
      </c>
      <c r="H73" s="72">
        <f>H74+H77+H82</f>
        <v>17204.664000000001</v>
      </c>
      <c r="I73" s="72">
        <f t="shared" si="0"/>
        <v>100</v>
      </c>
    </row>
    <row r="74" spans="1:9" s="119" customFormat="1">
      <c r="A74" s="73" t="s">
        <v>291</v>
      </c>
      <c r="B74" s="59" t="s">
        <v>69</v>
      </c>
      <c r="C74" s="59" t="s">
        <v>270</v>
      </c>
      <c r="D74" s="59" t="s">
        <v>189</v>
      </c>
      <c r="E74" s="108"/>
      <c r="F74" s="60">
        <f t="shared" ref="F74:H74" si="11">F75</f>
        <v>13693</v>
      </c>
      <c r="G74" s="60">
        <f t="shared" si="11"/>
        <v>10249.06114</v>
      </c>
      <c r="H74" s="60">
        <f t="shared" si="11"/>
        <v>13693</v>
      </c>
      <c r="I74" s="60">
        <f t="shared" si="0"/>
        <v>100</v>
      </c>
    </row>
    <row r="75" spans="1:9" s="119" customFormat="1" ht="24">
      <c r="A75" s="65" t="s">
        <v>72</v>
      </c>
      <c r="B75" s="66" t="s">
        <v>69</v>
      </c>
      <c r="C75" s="66" t="s">
        <v>270</v>
      </c>
      <c r="D75" s="66" t="s">
        <v>189</v>
      </c>
      <c r="E75" s="66" t="s">
        <v>73</v>
      </c>
      <c r="F75" s="67">
        <f>F76</f>
        <v>13693</v>
      </c>
      <c r="G75" s="67">
        <f>G76</f>
        <v>10249.06114</v>
      </c>
      <c r="H75" s="67">
        <f>H76</f>
        <v>13693</v>
      </c>
      <c r="I75" s="67">
        <f t="shared" ref="I75:I135" si="12">H75/F75*100</f>
        <v>100</v>
      </c>
    </row>
    <row r="76" spans="1:9" s="119" customFormat="1">
      <c r="A76" s="65" t="s">
        <v>74</v>
      </c>
      <c r="B76" s="66" t="s">
        <v>69</v>
      </c>
      <c r="C76" s="66" t="s">
        <v>270</v>
      </c>
      <c r="D76" s="66" t="s">
        <v>189</v>
      </c>
      <c r="E76" s="66" t="s">
        <v>75</v>
      </c>
      <c r="F76" s="67">
        <f>10463+70+3160</f>
        <v>13693</v>
      </c>
      <c r="G76" s="67">
        <v>10249.06114</v>
      </c>
      <c r="H76" s="67">
        <f>10463+70+3160</f>
        <v>13693</v>
      </c>
      <c r="I76" s="67">
        <f t="shared" si="12"/>
        <v>100</v>
      </c>
    </row>
    <row r="77" spans="1:9" s="119" customFormat="1">
      <c r="A77" s="58" t="s">
        <v>292</v>
      </c>
      <c r="B77" s="59" t="s">
        <v>69</v>
      </c>
      <c r="C77" s="59" t="s">
        <v>270</v>
      </c>
      <c r="D77" s="59" t="s">
        <v>190</v>
      </c>
      <c r="E77" s="59"/>
      <c r="F77" s="60">
        <f>F78+F80</f>
        <v>2982</v>
      </c>
      <c r="G77" s="60">
        <f>G78+G80</f>
        <v>2313.3328999999999</v>
      </c>
      <c r="H77" s="60">
        <f>H78+H80</f>
        <v>2982</v>
      </c>
      <c r="I77" s="60">
        <f t="shared" si="12"/>
        <v>100</v>
      </c>
    </row>
    <row r="78" spans="1:9" s="119" customFormat="1">
      <c r="A78" s="65" t="s">
        <v>486</v>
      </c>
      <c r="B78" s="66" t="s">
        <v>69</v>
      </c>
      <c r="C78" s="66" t="s">
        <v>270</v>
      </c>
      <c r="D78" s="66" t="s">
        <v>190</v>
      </c>
      <c r="E78" s="66" t="s">
        <v>77</v>
      </c>
      <c r="F78" s="67">
        <f>F79</f>
        <v>2977</v>
      </c>
      <c r="G78" s="67">
        <f>G79</f>
        <v>2313.3328999999999</v>
      </c>
      <c r="H78" s="67">
        <f>H79</f>
        <v>2977</v>
      </c>
      <c r="I78" s="67">
        <f t="shared" si="12"/>
        <v>100</v>
      </c>
    </row>
    <row r="79" spans="1:9" s="119" customFormat="1">
      <c r="A79" s="65" t="s">
        <v>78</v>
      </c>
      <c r="B79" s="66" t="s">
        <v>69</v>
      </c>
      <c r="C79" s="66" t="s">
        <v>270</v>
      </c>
      <c r="D79" s="66" t="s">
        <v>190</v>
      </c>
      <c r="E79" s="66" t="s">
        <v>79</v>
      </c>
      <c r="F79" s="67">
        <f>250+120+1712+500+395</f>
        <v>2977</v>
      </c>
      <c r="G79" s="67">
        <v>2313.3328999999999</v>
      </c>
      <c r="H79" s="67">
        <f>250+120+1712+500+395</f>
        <v>2977</v>
      </c>
      <c r="I79" s="67">
        <f t="shared" si="12"/>
        <v>100</v>
      </c>
    </row>
    <row r="80" spans="1:9" s="119" customFormat="1">
      <c r="A80" s="65" t="s">
        <v>80</v>
      </c>
      <c r="B80" s="66" t="s">
        <v>69</v>
      </c>
      <c r="C80" s="66" t="s">
        <v>270</v>
      </c>
      <c r="D80" s="66" t="s">
        <v>190</v>
      </c>
      <c r="E80" s="66" t="s">
        <v>81</v>
      </c>
      <c r="F80" s="67">
        <f>F81</f>
        <v>5</v>
      </c>
      <c r="G80" s="279">
        <f>G81</f>
        <v>0</v>
      </c>
      <c r="H80" s="67">
        <f>H81</f>
        <v>5</v>
      </c>
      <c r="I80" s="67">
        <f t="shared" si="12"/>
        <v>100</v>
      </c>
    </row>
    <row r="81" spans="1:9" s="119" customFormat="1">
      <c r="A81" s="65" t="s">
        <v>445</v>
      </c>
      <c r="B81" s="66" t="s">
        <v>69</v>
      </c>
      <c r="C81" s="66" t="s">
        <v>270</v>
      </c>
      <c r="D81" s="66" t="s">
        <v>190</v>
      </c>
      <c r="E81" s="66" t="s">
        <v>82</v>
      </c>
      <c r="F81" s="67">
        <v>5</v>
      </c>
      <c r="G81" s="279">
        <v>0</v>
      </c>
      <c r="H81" s="67">
        <v>5</v>
      </c>
      <c r="I81" s="67">
        <f t="shared" si="12"/>
        <v>100</v>
      </c>
    </row>
    <row r="82" spans="1:9" s="23" customFormat="1">
      <c r="A82" s="133" t="s">
        <v>774</v>
      </c>
      <c r="B82" s="132" t="s">
        <v>69</v>
      </c>
      <c r="C82" s="132" t="s">
        <v>270</v>
      </c>
      <c r="D82" s="132" t="s">
        <v>769</v>
      </c>
      <c r="E82" s="132"/>
      <c r="F82" s="158">
        <f t="shared" ref="F82:H83" si="13">F83</f>
        <v>529.66399999999999</v>
      </c>
      <c r="G82" s="158">
        <f t="shared" si="13"/>
        <v>529.66102999999998</v>
      </c>
      <c r="H82" s="158">
        <f t="shared" si="13"/>
        <v>529.66399999999999</v>
      </c>
      <c r="I82" s="158">
        <f t="shared" si="12"/>
        <v>100</v>
      </c>
    </row>
    <row r="83" spans="1:9" s="23" customFormat="1" ht="24">
      <c r="A83" s="131" t="s">
        <v>72</v>
      </c>
      <c r="B83" s="22" t="s">
        <v>69</v>
      </c>
      <c r="C83" s="22" t="s">
        <v>270</v>
      </c>
      <c r="D83" s="22" t="s">
        <v>769</v>
      </c>
      <c r="E83" s="22" t="s">
        <v>73</v>
      </c>
      <c r="F83" s="156">
        <f t="shared" si="13"/>
        <v>529.66399999999999</v>
      </c>
      <c r="G83" s="156">
        <f t="shared" si="13"/>
        <v>529.66102999999998</v>
      </c>
      <c r="H83" s="156">
        <f t="shared" si="13"/>
        <v>529.66399999999999</v>
      </c>
      <c r="I83" s="156">
        <f t="shared" si="12"/>
        <v>100</v>
      </c>
    </row>
    <row r="84" spans="1:9" s="23" customFormat="1">
      <c r="A84" s="131" t="s">
        <v>74</v>
      </c>
      <c r="B84" s="22" t="s">
        <v>69</v>
      </c>
      <c r="C84" s="22" t="s">
        <v>270</v>
      </c>
      <c r="D84" s="22" t="s">
        <v>769</v>
      </c>
      <c r="E84" s="22" t="s">
        <v>75</v>
      </c>
      <c r="F84" s="156">
        <v>529.66399999999999</v>
      </c>
      <c r="G84" s="156">
        <v>529.66102999999998</v>
      </c>
      <c r="H84" s="156">
        <v>529.66399999999999</v>
      </c>
      <c r="I84" s="156">
        <f t="shared" si="12"/>
        <v>100</v>
      </c>
    </row>
    <row r="85" spans="1:9" s="119" customFormat="1">
      <c r="A85" s="58" t="s">
        <v>284</v>
      </c>
      <c r="B85" s="59" t="s">
        <v>69</v>
      </c>
      <c r="C85" s="59" t="s">
        <v>83</v>
      </c>
      <c r="D85" s="59"/>
      <c r="E85" s="59"/>
      <c r="F85" s="60">
        <f t="shared" ref="F85:H89" si="14">F86</f>
        <v>3027.857</v>
      </c>
      <c r="G85" s="314">
        <f t="shared" si="14"/>
        <v>0</v>
      </c>
      <c r="H85" s="60">
        <f t="shared" si="14"/>
        <v>3027.857</v>
      </c>
      <c r="I85" s="60">
        <f t="shared" si="12"/>
        <v>100</v>
      </c>
    </row>
    <row r="86" spans="1:9" s="119" customFormat="1">
      <c r="A86" s="89" t="s">
        <v>67</v>
      </c>
      <c r="B86" s="71" t="s">
        <v>69</v>
      </c>
      <c r="C86" s="71" t="s">
        <v>83</v>
      </c>
      <c r="D86" s="71" t="s">
        <v>187</v>
      </c>
      <c r="E86" s="71"/>
      <c r="F86" s="72">
        <f t="shared" si="14"/>
        <v>3027.857</v>
      </c>
      <c r="G86" s="331">
        <f t="shared" si="14"/>
        <v>0</v>
      </c>
      <c r="H86" s="72">
        <f t="shared" si="14"/>
        <v>3027.857</v>
      </c>
      <c r="I86" s="72">
        <f t="shared" si="12"/>
        <v>100</v>
      </c>
    </row>
    <row r="87" spans="1:9" s="119" customFormat="1">
      <c r="A87" s="73" t="s">
        <v>272</v>
      </c>
      <c r="B87" s="59" t="s">
        <v>69</v>
      </c>
      <c r="C87" s="59" t="s">
        <v>83</v>
      </c>
      <c r="D87" s="59" t="s">
        <v>188</v>
      </c>
      <c r="E87" s="59"/>
      <c r="F87" s="60">
        <f t="shared" si="14"/>
        <v>3027.857</v>
      </c>
      <c r="G87" s="314">
        <f t="shared" si="14"/>
        <v>0</v>
      </c>
      <c r="H87" s="60">
        <f t="shared" si="14"/>
        <v>3027.857</v>
      </c>
      <c r="I87" s="60">
        <f t="shared" si="12"/>
        <v>100</v>
      </c>
    </row>
    <row r="88" spans="1:9" s="119" customFormat="1">
      <c r="A88" s="65" t="s">
        <v>84</v>
      </c>
      <c r="B88" s="66" t="s">
        <v>69</v>
      </c>
      <c r="C88" s="66" t="s">
        <v>83</v>
      </c>
      <c r="D88" s="66" t="s">
        <v>288</v>
      </c>
      <c r="E88" s="66"/>
      <c r="F88" s="67">
        <f t="shared" si="14"/>
        <v>3027.857</v>
      </c>
      <c r="G88" s="279">
        <f t="shared" si="14"/>
        <v>0</v>
      </c>
      <c r="H88" s="67">
        <f t="shared" si="14"/>
        <v>3027.857</v>
      </c>
      <c r="I88" s="67">
        <f t="shared" si="12"/>
        <v>100</v>
      </c>
    </row>
    <row r="89" spans="1:9" s="119" customFormat="1">
      <c r="A89" s="65" t="s">
        <v>80</v>
      </c>
      <c r="B89" s="66" t="s">
        <v>69</v>
      </c>
      <c r="C89" s="66" t="s">
        <v>83</v>
      </c>
      <c r="D89" s="66" t="s">
        <v>288</v>
      </c>
      <c r="E89" s="66" t="s">
        <v>81</v>
      </c>
      <c r="F89" s="67">
        <f t="shared" si="14"/>
        <v>3027.857</v>
      </c>
      <c r="G89" s="279">
        <f t="shared" si="14"/>
        <v>0</v>
      </c>
      <c r="H89" s="67">
        <f t="shared" si="14"/>
        <v>3027.857</v>
      </c>
      <c r="I89" s="67">
        <f t="shared" si="12"/>
        <v>100</v>
      </c>
    </row>
    <row r="90" spans="1:9" s="119" customFormat="1">
      <c r="A90" s="65" t="s">
        <v>85</v>
      </c>
      <c r="B90" s="66" t="s">
        <v>69</v>
      </c>
      <c r="C90" s="66" t="s">
        <v>83</v>
      </c>
      <c r="D90" s="66" t="s">
        <v>288</v>
      </c>
      <c r="E90" s="66" t="s">
        <v>380</v>
      </c>
      <c r="F90" s="67">
        <f>3000-2942.143+3000-30</f>
        <v>3027.857</v>
      </c>
      <c r="G90" s="279">
        <v>0</v>
      </c>
      <c r="H90" s="67">
        <f>3000-2942.143+3000-30</f>
        <v>3027.857</v>
      </c>
      <c r="I90" s="67">
        <f t="shared" si="12"/>
        <v>100</v>
      </c>
    </row>
    <row r="91" spans="1:9" s="119" customFormat="1">
      <c r="A91" s="58" t="s">
        <v>285</v>
      </c>
      <c r="B91" s="59" t="s">
        <v>69</v>
      </c>
      <c r="C91" s="59" t="s">
        <v>86</v>
      </c>
      <c r="D91" s="59"/>
      <c r="E91" s="59"/>
      <c r="F91" s="60">
        <f>F92+F122+F130+F135+F140</f>
        <v>222381.95172999997</v>
      </c>
      <c r="G91" s="60">
        <f>G92+G122+G130+G135+G140</f>
        <v>83870.627600000007</v>
      </c>
      <c r="H91" s="60">
        <f>H92+H122+H130+H135+H140</f>
        <v>221944.15172999998</v>
      </c>
      <c r="I91" s="60">
        <f t="shared" si="12"/>
        <v>99.803131505684632</v>
      </c>
    </row>
    <row r="92" spans="1:9" s="119" customFormat="1" ht="13.5">
      <c r="A92" s="69" t="s">
        <v>526</v>
      </c>
      <c r="B92" s="61" t="s">
        <v>69</v>
      </c>
      <c r="C92" s="61" t="s">
        <v>86</v>
      </c>
      <c r="D92" s="90" t="s">
        <v>191</v>
      </c>
      <c r="E92" s="91"/>
      <c r="F92" s="62">
        <f>F93+F115</f>
        <v>41333</v>
      </c>
      <c r="G92" s="62">
        <f>G93+G115</f>
        <v>26914.68175</v>
      </c>
      <c r="H92" s="62">
        <f>H93+H115</f>
        <v>40895.199999999997</v>
      </c>
      <c r="I92" s="62">
        <f t="shared" si="12"/>
        <v>98.940797909660546</v>
      </c>
    </row>
    <row r="93" spans="1:9" s="119" customFormat="1" ht="27">
      <c r="A93" s="92" t="s">
        <v>53</v>
      </c>
      <c r="B93" s="61" t="s">
        <v>69</v>
      </c>
      <c r="C93" s="61" t="s">
        <v>86</v>
      </c>
      <c r="D93" s="93" t="s">
        <v>152</v>
      </c>
      <c r="E93" s="91"/>
      <c r="F93" s="62">
        <f>F94+F97+F100+F103+F106+F109+F112</f>
        <v>39583</v>
      </c>
      <c r="G93" s="62">
        <f>G94+G97+G100+G103+G106+G109+G112</f>
        <v>26806.494749999998</v>
      </c>
      <c r="H93" s="62">
        <f>H94+H97+H100+H103+H106+H109+H112</f>
        <v>39145.199999999997</v>
      </c>
      <c r="I93" s="62">
        <f t="shared" si="12"/>
        <v>98.893969633428483</v>
      </c>
    </row>
    <row r="94" spans="1:9" s="119" customFormat="1">
      <c r="A94" s="85" t="s">
        <v>527</v>
      </c>
      <c r="B94" s="59" t="s">
        <v>69</v>
      </c>
      <c r="C94" s="59" t="s">
        <v>86</v>
      </c>
      <c r="D94" s="86" t="s">
        <v>528</v>
      </c>
      <c r="E94" s="94"/>
      <c r="F94" s="60">
        <f t="shared" ref="F94:H95" si="15">F95</f>
        <v>2210</v>
      </c>
      <c r="G94" s="60">
        <f t="shared" si="15"/>
        <v>923.52499999999998</v>
      </c>
      <c r="H94" s="60">
        <f t="shared" si="15"/>
        <v>1772.2</v>
      </c>
      <c r="I94" s="60">
        <f t="shared" si="12"/>
        <v>80.190045248868785</v>
      </c>
    </row>
    <row r="95" spans="1:9" s="119" customFormat="1">
      <c r="A95" s="65" t="s">
        <v>486</v>
      </c>
      <c r="B95" s="66" t="s">
        <v>69</v>
      </c>
      <c r="C95" s="66" t="s">
        <v>86</v>
      </c>
      <c r="D95" s="76" t="s">
        <v>528</v>
      </c>
      <c r="E95" s="81">
        <v>200</v>
      </c>
      <c r="F95" s="67">
        <f t="shared" si="15"/>
        <v>2210</v>
      </c>
      <c r="G95" s="67">
        <f t="shared" si="15"/>
        <v>923.52499999999998</v>
      </c>
      <c r="H95" s="67">
        <f t="shared" si="15"/>
        <v>1772.2</v>
      </c>
      <c r="I95" s="67">
        <f t="shared" si="12"/>
        <v>80.190045248868785</v>
      </c>
    </row>
    <row r="96" spans="1:9" s="119" customFormat="1">
      <c r="A96" s="65" t="s">
        <v>78</v>
      </c>
      <c r="B96" s="66" t="s">
        <v>69</v>
      </c>
      <c r="C96" s="66" t="s">
        <v>86</v>
      </c>
      <c r="D96" s="76" t="s">
        <v>528</v>
      </c>
      <c r="E96" s="81">
        <v>240</v>
      </c>
      <c r="F96" s="67">
        <f>2300-700+610</f>
        <v>2210</v>
      </c>
      <c r="G96" s="67">
        <v>923.52499999999998</v>
      </c>
      <c r="H96" s="67">
        <f>2300-700+610-437.8</f>
        <v>1772.2</v>
      </c>
      <c r="I96" s="67">
        <f t="shared" si="12"/>
        <v>80.190045248868785</v>
      </c>
    </row>
    <row r="97" spans="1:9" s="119" customFormat="1" ht="24">
      <c r="A97" s="85" t="s">
        <v>529</v>
      </c>
      <c r="B97" s="59" t="s">
        <v>69</v>
      </c>
      <c r="C97" s="59" t="s">
        <v>86</v>
      </c>
      <c r="D97" s="86" t="s">
        <v>530</v>
      </c>
      <c r="E97" s="81"/>
      <c r="F97" s="60">
        <f t="shared" ref="F97:H98" si="16">F98</f>
        <v>900</v>
      </c>
      <c r="G97" s="60">
        <f t="shared" si="16"/>
        <v>484.68875000000003</v>
      </c>
      <c r="H97" s="60">
        <f t="shared" si="16"/>
        <v>900</v>
      </c>
      <c r="I97" s="60">
        <f t="shared" si="12"/>
        <v>100</v>
      </c>
    </row>
    <row r="98" spans="1:9" s="119" customFormat="1">
      <c r="A98" s="65" t="s">
        <v>486</v>
      </c>
      <c r="B98" s="66" t="s">
        <v>69</v>
      </c>
      <c r="C98" s="66" t="s">
        <v>86</v>
      </c>
      <c r="D98" s="76" t="s">
        <v>530</v>
      </c>
      <c r="E98" s="81">
        <v>200</v>
      </c>
      <c r="F98" s="67">
        <f t="shared" si="16"/>
        <v>900</v>
      </c>
      <c r="G98" s="67">
        <f t="shared" si="16"/>
        <v>484.68875000000003</v>
      </c>
      <c r="H98" s="67">
        <f t="shared" si="16"/>
        <v>900</v>
      </c>
      <c r="I98" s="67">
        <f t="shared" si="12"/>
        <v>100</v>
      </c>
    </row>
    <row r="99" spans="1:9" s="119" customFormat="1">
      <c r="A99" s="65" t="s">
        <v>78</v>
      </c>
      <c r="B99" s="66" t="s">
        <v>69</v>
      </c>
      <c r="C99" s="66" t="s">
        <v>86</v>
      </c>
      <c r="D99" s="76" t="s">
        <v>530</v>
      </c>
      <c r="E99" s="81">
        <v>240</v>
      </c>
      <c r="F99" s="67">
        <v>900</v>
      </c>
      <c r="G99" s="67">
        <v>484.68875000000003</v>
      </c>
      <c r="H99" s="67">
        <v>900</v>
      </c>
      <c r="I99" s="67">
        <f t="shared" si="12"/>
        <v>100</v>
      </c>
    </row>
    <row r="100" spans="1:9" s="119" customFormat="1" ht="24">
      <c r="A100" s="85" t="s">
        <v>532</v>
      </c>
      <c r="B100" s="59" t="s">
        <v>69</v>
      </c>
      <c r="C100" s="59" t="s">
        <v>86</v>
      </c>
      <c r="D100" s="86" t="s">
        <v>531</v>
      </c>
      <c r="E100" s="81"/>
      <c r="F100" s="60">
        <f t="shared" ref="F100:H101" si="17">F101</f>
        <v>4160</v>
      </c>
      <c r="G100" s="60">
        <f t="shared" si="17"/>
        <v>2878.1370000000002</v>
      </c>
      <c r="H100" s="60">
        <f t="shared" si="17"/>
        <v>4160</v>
      </c>
      <c r="I100" s="60">
        <f t="shared" si="12"/>
        <v>100</v>
      </c>
    </row>
    <row r="101" spans="1:9" s="119" customFormat="1">
      <c r="A101" s="65" t="s">
        <v>486</v>
      </c>
      <c r="B101" s="66" t="s">
        <v>69</v>
      </c>
      <c r="C101" s="66" t="s">
        <v>86</v>
      </c>
      <c r="D101" s="76" t="s">
        <v>531</v>
      </c>
      <c r="E101" s="81">
        <v>200</v>
      </c>
      <c r="F101" s="67">
        <f t="shared" si="17"/>
        <v>4160</v>
      </c>
      <c r="G101" s="67">
        <f t="shared" si="17"/>
        <v>2878.1370000000002</v>
      </c>
      <c r="H101" s="67">
        <f t="shared" si="17"/>
        <v>4160</v>
      </c>
      <c r="I101" s="67">
        <f t="shared" si="12"/>
        <v>100</v>
      </c>
    </row>
    <row r="102" spans="1:9" s="119" customFormat="1">
      <c r="A102" s="65" t="s">
        <v>78</v>
      </c>
      <c r="B102" s="66" t="s">
        <v>69</v>
      </c>
      <c r="C102" s="66" t="s">
        <v>86</v>
      </c>
      <c r="D102" s="76" t="s">
        <v>531</v>
      </c>
      <c r="E102" s="81">
        <v>240</v>
      </c>
      <c r="F102" s="67">
        <v>4160</v>
      </c>
      <c r="G102" s="67">
        <v>2878.1370000000002</v>
      </c>
      <c r="H102" s="67">
        <v>4160</v>
      </c>
      <c r="I102" s="67">
        <f t="shared" si="12"/>
        <v>100</v>
      </c>
    </row>
    <row r="103" spans="1:9" s="119" customFormat="1" ht="24">
      <c r="A103" s="85" t="s">
        <v>533</v>
      </c>
      <c r="B103" s="59" t="s">
        <v>69</v>
      </c>
      <c r="C103" s="59" t="s">
        <v>86</v>
      </c>
      <c r="D103" s="86" t="s">
        <v>534</v>
      </c>
      <c r="E103" s="81"/>
      <c r="F103" s="60">
        <f t="shared" ref="F103:H104" si="18">F104</f>
        <v>2431</v>
      </c>
      <c r="G103" s="60">
        <f t="shared" si="18"/>
        <v>1822.9949999999999</v>
      </c>
      <c r="H103" s="60">
        <f t="shared" si="18"/>
        <v>2431</v>
      </c>
      <c r="I103" s="60">
        <f t="shared" si="12"/>
        <v>100</v>
      </c>
    </row>
    <row r="104" spans="1:9" s="119" customFormat="1">
      <c r="A104" s="65" t="s">
        <v>486</v>
      </c>
      <c r="B104" s="66" t="s">
        <v>69</v>
      </c>
      <c r="C104" s="66" t="s">
        <v>86</v>
      </c>
      <c r="D104" s="76" t="s">
        <v>534</v>
      </c>
      <c r="E104" s="81">
        <v>200</v>
      </c>
      <c r="F104" s="67">
        <f t="shared" si="18"/>
        <v>2431</v>
      </c>
      <c r="G104" s="67">
        <f t="shared" si="18"/>
        <v>1822.9949999999999</v>
      </c>
      <c r="H104" s="67">
        <f t="shared" si="18"/>
        <v>2431</v>
      </c>
      <c r="I104" s="67">
        <f t="shared" si="12"/>
        <v>100</v>
      </c>
    </row>
    <row r="105" spans="1:9" s="119" customFormat="1">
      <c r="A105" s="65" t="s">
        <v>78</v>
      </c>
      <c r="B105" s="66" t="s">
        <v>69</v>
      </c>
      <c r="C105" s="66" t="s">
        <v>86</v>
      </c>
      <c r="D105" s="76" t="s">
        <v>534</v>
      </c>
      <c r="E105" s="81">
        <v>240</v>
      </c>
      <c r="F105" s="67">
        <v>2431</v>
      </c>
      <c r="G105" s="67">
        <v>1822.9949999999999</v>
      </c>
      <c r="H105" s="67">
        <v>2431</v>
      </c>
      <c r="I105" s="67">
        <f t="shared" si="12"/>
        <v>100</v>
      </c>
    </row>
    <row r="106" spans="1:9" s="119" customFormat="1">
      <c r="A106" s="85" t="s">
        <v>224</v>
      </c>
      <c r="B106" s="59" t="s">
        <v>69</v>
      </c>
      <c r="C106" s="59" t="s">
        <v>86</v>
      </c>
      <c r="D106" s="86" t="s">
        <v>535</v>
      </c>
      <c r="E106" s="81"/>
      <c r="F106" s="78">
        <f t="shared" ref="F106:H107" si="19">F107</f>
        <v>2850</v>
      </c>
      <c r="G106" s="78">
        <f t="shared" si="19"/>
        <v>1178.92</v>
      </c>
      <c r="H106" s="78">
        <f t="shared" si="19"/>
        <v>2850</v>
      </c>
      <c r="I106" s="78">
        <f t="shared" si="12"/>
        <v>100</v>
      </c>
    </row>
    <row r="107" spans="1:9" s="119" customFormat="1">
      <c r="A107" s="65" t="s">
        <v>486</v>
      </c>
      <c r="B107" s="66" t="s">
        <v>69</v>
      </c>
      <c r="C107" s="66" t="s">
        <v>86</v>
      </c>
      <c r="D107" s="76" t="s">
        <v>535</v>
      </c>
      <c r="E107" s="81">
        <v>200</v>
      </c>
      <c r="F107" s="79">
        <f t="shared" si="19"/>
        <v>2850</v>
      </c>
      <c r="G107" s="79">
        <f t="shared" si="19"/>
        <v>1178.92</v>
      </c>
      <c r="H107" s="79">
        <f t="shared" si="19"/>
        <v>2850</v>
      </c>
      <c r="I107" s="79">
        <f t="shared" si="12"/>
        <v>100</v>
      </c>
    </row>
    <row r="108" spans="1:9" s="119" customFormat="1">
      <c r="A108" s="65" t="s">
        <v>78</v>
      </c>
      <c r="B108" s="66" t="s">
        <v>69</v>
      </c>
      <c r="C108" s="66" t="s">
        <v>86</v>
      </c>
      <c r="D108" s="76" t="s">
        <v>535</v>
      </c>
      <c r="E108" s="81">
        <v>240</v>
      </c>
      <c r="F108" s="79">
        <f>2000+700+150</f>
        <v>2850</v>
      </c>
      <c r="G108" s="79">
        <v>1178.92</v>
      </c>
      <c r="H108" s="79">
        <f>2000+700+150</f>
        <v>2850</v>
      </c>
      <c r="I108" s="79">
        <f t="shared" si="12"/>
        <v>100</v>
      </c>
    </row>
    <row r="109" spans="1:9" s="119" customFormat="1">
      <c r="A109" s="85" t="s">
        <v>467</v>
      </c>
      <c r="B109" s="59" t="s">
        <v>69</v>
      </c>
      <c r="C109" s="59" t="s">
        <v>86</v>
      </c>
      <c r="D109" s="86" t="s">
        <v>536</v>
      </c>
      <c r="E109" s="81"/>
      <c r="F109" s="60">
        <f t="shared" ref="F109:H110" si="20">F110</f>
        <v>8940</v>
      </c>
      <c r="G109" s="60">
        <f t="shared" si="20"/>
        <v>5950</v>
      </c>
      <c r="H109" s="60">
        <f t="shared" si="20"/>
        <v>8940</v>
      </c>
      <c r="I109" s="60">
        <f t="shared" si="12"/>
        <v>100</v>
      </c>
    </row>
    <row r="110" spans="1:9" s="119" customFormat="1">
      <c r="A110" s="65" t="s">
        <v>486</v>
      </c>
      <c r="B110" s="66" t="s">
        <v>69</v>
      </c>
      <c r="C110" s="66" t="s">
        <v>86</v>
      </c>
      <c r="D110" s="76" t="s">
        <v>536</v>
      </c>
      <c r="E110" s="81">
        <v>200</v>
      </c>
      <c r="F110" s="67">
        <f t="shared" si="20"/>
        <v>8940</v>
      </c>
      <c r="G110" s="67">
        <f t="shared" si="20"/>
        <v>5950</v>
      </c>
      <c r="H110" s="67">
        <f t="shared" si="20"/>
        <v>8940</v>
      </c>
      <c r="I110" s="67">
        <f t="shared" si="12"/>
        <v>100</v>
      </c>
    </row>
    <row r="111" spans="1:9" s="119" customFormat="1">
      <c r="A111" s="65" t="s">
        <v>78</v>
      </c>
      <c r="B111" s="66" t="s">
        <v>69</v>
      </c>
      <c r="C111" s="66" t="s">
        <v>86</v>
      </c>
      <c r="D111" s="76" t="s">
        <v>536</v>
      </c>
      <c r="E111" s="81">
        <v>240</v>
      </c>
      <c r="F111" s="67">
        <f>7140+1800</f>
        <v>8940</v>
      </c>
      <c r="G111" s="67">
        <v>5950</v>
      </c>
      <c r="H111" s="67">
        <f>7140+1800</f>
        <v>8940</v>
      </c>
      <c r="I111" s="67">
        <f t="shared" si="12"/>
        <v>100</v>
      </c>
    </row>
    <row r="112" spans="1:9" s="119" customFormat="1" ht="24">
      <c r="A112" s="58" t="s">
        <v>468</v>
      </c>
      <c r="B112" s="59" t="s">
        <v>69</v>
      </c>
      <c r="C112" s="59" t="s">
        <v>86</v>
      </c>
      <c r="D112" s="86" t="s">
        <v>537</v>
      </c>
      <c r="E112" s="81"/>
      <c r="F112" s="60">
        <f t="shared" ref="F112:H113" si="21">F113</f>
        <v>18092</v>
      </c>
      <c r="G112" s="60">
        <f t="shared" si="21"/>
        <v>13568.228999999999</v>
      </c>
      <c r="H112" s="60">
        <f t="shared" si="21"/>
        <v>18092</v>
      </c>
      <c r="I112" s="60">
        <f t="shared" si="12"/>
        <v>100</v>
      </c>
    </row>
    <row r="113" spans="1:9" s="119" customFormat="1">
      <c r="A113" s="65" t="s">
        <v>486</v>
      </c>
      <c r="B113" s="66" t="s">
        <v>69</v>
      </c>
      <c r="C113" s="66" t="s">
        <v>86</v>
      </c>
      <c r="D113" s="76" t="s">
        <v>537</v>
      </c>
      <c r="E113" s="81">
        <v>200</v>
      </c>
      <c r="F113" s="67">
        <f t="shared" si="21"/>
        <v>18092</v>
      </c>
      <c r="G113" s="67">
        <f t="shared" si="21"/>
        <v>13568.228999999999</v>
      </c>
      <c r="H113" s="67">
        <f t="shared" si="21"/>
        <v>18092</v>
      </c>
      <c r="I113" s="67">
        <f t="shared" si="12"/>
        <v>100</v>
      </c>
    </row>
    <row r="114" spans="1:9" s="119" customFormat="1">
      <c r="A114" s="65" t="s">
        <v>78</v>
      </c>
      <c r="B114" s="66" t="s">
        <v>69</v>
      </c>
      <c r="C114" s="66" t="s">
        <v>86</v>
      </c>
      <c r="D114" s="76" t="s">
        <v>537</v>
      </c>
      <c r="E114" s="81">
        <v>240</v>
      </c>
      <c r="F114" s="67">
        <f>18242-150</f>
        <v>18092</v>
      </c>
      <c r="G114" s="67">
        <v>13568.228999999999</v>
      </c>
      <c r="H114" s="67">
        <f>18242-150</f>
        <v>18092</v>
      </c>
      <c r="I114" s="67">
        <f t="shared" si="12"/>
        <v>100</v>
      </c>
    </row>
    <row r="115" spans="1:9" s="119" customFormat="1" ht="13.5">
      <c r="A115" s="69" t="s">
        <v>39</v>
      </c>
      <c r="B115" s="61" t="s">
        <v>69</v>
      </c>
      <c r="C115" s="61" t="s">
        <v>86</v>
      </c>
      <c r="D115" s="93" t="s">
        <v>223</v>
      </c>
      <c r="E115" s="91"/>
      <c r="F115" s="62">
        <f>F116+F119</f>
        <v>1750</v>
      </c>
      <c r="G115" s="62">
        <f t="shared" ref="G115:H115" si="22">G116+G119</f>
        <v>108.18700000000001</v>
      </c>
      <c r="H115" s="62">
        <f t="shared" si="22"/>
        <v>1750</v>
      </c>
      <c r="I115" s="62">
        <f t="shared" si="12"/>
        <v>100</v>
      </c>
    </row>
    <row r="116" spans="1:9" s="119" customFormat="1">
      <c r="A116" s="58" t="s">
        <v>538</v>
      </c>
      <c r="B116" s="59" t="s">
        <v>69</v>
      </c>
      <c r="C116" s="59" t="s">
        <v>86</v>
      </c>
      <c r="D116" s="59" t="s">
        <v>469</v>
      </c>
      <c r="E116" s="94"/>
      <c r="F116" s="60">
        <f t="shared" ref="F116:H117" si="23">F117</f>
        <v>150</v>
      </c>
      <c r="G116" s="60">
        <f t="shared" si="23"/>
        <v>37.68</v>
      </c>
      <c r="H116" s="60">
        <f t="shared" si="23"/>
        <v>150</v>
      </c>
      <c r="I116" s="60">
        <f t="shared" si="12"/>
        <v>100</v>
      </c>
    </row>
    <row r="117" spans="1:9" s="119" customFormat="1">
      <c r="A117" s="65" t="s">
        <v>486</v>
      </c>
      <c r="B117" s="66" t="s">
        <v>69</v>
      </c>
      <c r="C117" s="66" t="s">
        <v>86</v>
      </c>
      <c r="D117" s="76" t="s">
        <v>469</v>
      </c>
      <c r="E117" s="81">
        <v>200</v>
      </c>
      <c r="F117" s="67">
        <f t="shared" si="23"/>
        <v>150</v>
      </c>
      <c r="G117" s="67">
        <f t="shared" si="23"/>
        <v>37.68</v>
      </c>
      <c r="H117" s="67">
        <f t="shared" si="23"/>
        <v>150</v>
      </c>
      <c r="I117" s="67">
        <f t="shared" si="12"/>
        <v>100</v>
      </c>
    </row>
    <row r="118" spans="1:9" s="119" customFormat="1">
      <c r="A118" s="65" t="s">
        <v>78</v>
      </c>
      <c r="B118" s="66" t="s">
        <v>69</v>
      </c>
      <c r="C118" s="66" t="s">
        <v>86</v>
      </c>
      <c r="D118" s="76" t="s">
        <v>469</v>
      </c>
      <c r="E118" s="81">
        <v>240</v>
      </c>
      <c r="F118" s="67">
        <v>150</v>
      </c>
      <c r="G118" s="67">
        <v>37.68</v>
      </c>
      <c r="H118" s="67">
        <v>150</v>
      </c>
      <c r="I118" s="67">
        <f t="shared" si="12"/>
        <v>100</v>
      </c>
    </row>
    <row r="119" spans="1:9" s="119" customFormat="1">
      <c r="A119" s="58" t="s">
        <v>471</v>
      </c>
      <c r="B119" s="59" t="s">
        <v>69</v>
      </c>
      <c r="C119" s="59" t="s">
        <v>86</v>
      </c>
      <c r="D119" s="86" t="s">
        <v>470</v>
      </c>
      <c r="E119" s="94"/>
      <c r="F119" s="60">
        <f t="shared" ref="F119:H120" si="24">F120</f>
        <v>1600</v>
      </c>
      <c r="G119" s="60">
        <f t="shared" si="24"/>
        <v>70.507000000000005</v>
      </c>
      <c r="H119" s="60">
        <f t="shared" si="24"/>
        <v>1600</v>
      </c>
      <c r="I119" s="60">
        <f t="shared" si="12"/>
        <v>100</v>
      </c>
    </row>
    <row r="120" spans="1:9" s="119" customFormat="1">
      <c r="A120" s="65" t="s">
        <v>486</v>
      </c>
      <c r="B120" s="66" t="s">
        <v>69</v>
      </c>
      <c r="C120" s="66" t="s">
        <v>86</v>
      </c>
      <c r="D120" s="76" t="s">
        <v>470</v>
      </c>
      <c r="E120" s="81">
        <v>200</v>
      </c>
      <c r="F120" s="67">
        <f t="shared" si="24"/>
        <v>1600</v>
      </c>
      <c r="G120" s="67">
        <f t="shared" si="24"/>
        <v>70.507000000000005</v>
      </c>
      <c r="H120" s="67">
        <f t="shared" si="24"/>
        <v>1600</v>
      </c>
      <c r="I120" s="67">
        <f t="shared" si="12"/>
        <v>100</v>
      </c>
    </row>
    <row r="121" spans="1:9" s="119" customFormat="1">
      <c r="A121" s="65" t="s">
        <v>78</v>
      </c>
      <c r="B121" s="66" t="s">
        <v>69</v>
      </c>
      <c r="C121" s="66" t="s">
        <v>86</v>
      </c>
      <c r="D121" s="76" t="s">
        <v>470</v>
      </c>
      <c r="E121" s="81">
        <v>240</v>
      </c>
      <c r="F121" s="67">
        <v>1600</v>
      </c>
      <c r="G121" s="67">
        <v>70.507000000000005</v>
      </c>
      <c r="H121" s="67">
        <v>1600</v>
      </c>
      <c r="I121" s="67">
        <f t="shared" si="12"/>
        <v>100</v>
      </c>
    </row>
    <row r="122" spans="1:9" s="119" customFormat="1" ht="13.5">
      <c r="A122" s="69" t="s">
        <v>577</v>
      </c>
      <c r="B122" s="61" t="s">
        <v>69</v>
      </c>
      <c r="C122" s="61" t="s">
        <v>86</v>
      </c>
      <c r="D122" s="61" t="s">
        <v>209</v>
      </c>
      <c r="E122" s="66"/>
      <c r="F122" s="62">
        <f>F123</f>
        <v>101964.86</v>
      </c>
      <c r="G122" s="332">
        <f>G123</f>
        <v>0</v>
      </c>
      <c r="H122" s="62">
        <f>H123</f>
        <v>101964.86</v>
      </c>
      <c r="I122" s="62">
        <f t="shared" si="12"/>
        <v>100</v>
      </c>
    </row>
    <row r="123" spans="1:9" s="119" customFormat="1" ht="24">
      <c r="A123" s="74" t="s">
        <v>579</v>
      </c>
      <c r="B123" s="75" t="s">
        <v>69</v>
      </c>
      <c r="C123" s="75" t="s">
        <v>86</v>
      </c>
      <c r="D123" s="75" t="s">
        <v>300</v>
      </c>
      <c r="E123" s="66"/>
      <c r="F123" s="72">
        <f>F124+F127</f>
        <v>101964.86</v>
      </c>
      <c r="G123" s="331">
        <f>G124+G127</f>
        <v>0</v>
      </c>
      <c r="H123" s="72">
        <f>H124+H127</f>
        <v>101964.86</v>
      </c>
      <c r="I123" s="72">
        <f t="shared" si="12"/>
        <v>100</v>
      </c>
    </row>
    <row r="124" spans="1:9" s="119" customFormat="1" ht="24">
      <c r="A124" s="85" t="s">
        <v>752</v>
      </c>
      <c r="B124" s="59" t="s">
        <v>69</v>
      </c>
      <c r="C124" s="59" t="s">
        <v>86</v>
      </c>
      <c r="D124" s="59" t="s">
        <v>753</v>
      </c>
      <c r="E124" s="66"/>
      <c r="F124" s="60">
        <f t="shared" ref="F124:H125" si="25">F125</f>
        <v>100000</v>
      </c>
      <c r="G124" s="314">
        <f t="shared" si="25"/>
        <v>0</v>
      </c>
      <c r="H124" s="60">
        <f t="shared" si="25"/>
        <v>100000</v>
      </c>
      <c r="I124" s="60">
        <f t="shared" si="12"/>
        <v>100</v>
      </c>
    </row>
    <row r="125" spans="1:9" s="119" customFormat="1">
      <c r="A125" s="65" t="s">
        <v>486</v>
      </c>
      <c r="B125" s="66" t="s">
        <v>69</v>
      </c>
      <c r="C125" s="66" t="s">
        <v>86</v>
      </c>
      <c r="D125" s="76" t="s">
        <v>753</v>
      </c>
      <c r="E125" s="66" t="s">
        <v>77</v>
      </c>
      <c r="F125" s="67">
        <f t="shared" si="25"/>
        <v>100000</v>
      </c>
      <c r="G125" s="279">
        <f t="shared" si="25"/>
        <v>0</v>
      </c>
      <c r="H125" s="67">
        <f t="shared" si="25"/>
        <v>100000</v>
      </c>
      <c r="I125" s="67">
        <f t="shared" si="12"/>
        <v>100</v>
      </c>
    </row>
    <row r="126" spans="1:9" s="119" customFormat="1">
      <c r="A126" s="65" t="s">
        <v>78</v>
      </c>
      <c r="B126" s="66" t="s">
        <v>69</v>
      </c>
      <c r="C126" s="66" t="s">
        <v>86</v>
      </c>
      <c r="D126" s="76" t="s">
        <v>753</v>
      </c>
      <c r="E126" s="66" t="s">
        <v>79</v>
      </c>
      <c r="F126" s="67">
        <v>100000</v>
      </c>
      <c r="G126" s="279">
        <v>0</v>
      </c>
      <c r="H126" s="67">
        <v>100000</v>
      </c>
      <c r="I126" s="67">
        <f t="shared" si="12"/>
        <v>100</v>
      </c>
    </row>
    <row r="127" spans="1:9" s="119" customFormat="1" ht="24">
      <c r="A127" s="97" t="s">
        <v>750</v>
      </c>
      <c r="B127" s="59" t="s">
        <v>69</v>
      </c>
      <c r="C127" s="59" t="s">
        <v>86</v>
      </c>
      <c r="D127" s="59" t="s">
        <v>751</v>
      </c>
      <c r="E127" s="59"/>
      <c r="F127" s="60">
        <f t="shared" ref="F127:H128" si="26">F128</f>
        <v>1964.86</v>
      </c>
      <c r="G127" s="314">
        <f t="shared" si="26"/>
        <v>0</v>
      </c>
      <c r="H127" s="60">
        <f t="shared" si="26"/>
        <v>1964.86</v>
      </c>
      <c r="I127" s="60">
        <f t="shared" si="12"/>
        <v>100</v>
      </c>
    </row>
    <row r="128" spans="1:9" s="119" customFormat="1">
      <c r="A128" s="65" t="s">
        <v>486</v>
      </c>
      <c r="B128" s="66" t="s">
        <v>69</v>
      </c>
      <c r="C128" s="66" t="s">
        <v>86</v>
      </c>
      <c r="D128" s="66" t="s">
        <v>751</v>
      </c>
      <c r="E128" s="66" t="s">
        <v>77</v>
      </c>
      <c r="F128" s="67">
        <f t="shared" si="26"/>
        <v>1964.86</v>
      </c>
      <c r="G128" s="279">
        <f t="shared" si="26"/>
        <v>0</v>
      </c>
      <c r="H128" s="67">
        <f t="shared" si="26"/>
        <v>1964.86</v>
      </c>
      <c r="I128" s="67">
        <f t="shared" si="12"/>
        <v>100</v>
      </c>
    </row>
    <row r="129" spans="1:9" s="119" customFormat="1">
      <c r="A129" s="65" t="s">
        <v>78</v>
      </c>
      <c r="B129" s="66" t="s">
        <v>69</v>
      </c>
      <c r="C129" s="66" t="s">
        <v>86</v>
      </c>
      <c r="D129" s="66" t="s">
        <v>751</v>
      </c>
      <c r="E129" s="66" t="s">
        <v>79</v>
      </c>
      <c r="F129" s="67">
        <f>1964.86</f>
        <v>1964.86</v>
      </c>
      <c r="G129" s="67"/>
      <c r="H129" s="67">
        <f>1964.86</f>
        <v>1964.86</v>
      </c>
      <c r="I129" s="67">
        <f t="shared" si="12"/>
        <v>100</v>
      </c>
    </row>
    <row r="130" spans="1:9" s="119" customFormat="1" ht="27">
      <c r="A130" s="69" t="s">
        <v>539</v>
      </c>
      <c r="B130" s="61" t="s">
        <v>69</v>
      </c>
      <c r="C130" s="61" t="s">
        <v>86</v>
      </c>
      <c r="D130" s="93" t="s">
        <v>211</v>
      </c>
      <c r="E130" s="91"/>
      <c r="F130" s="105">
        <f t="shared" ref="F130:H133" si="27">F131</f>
        <v>860</v>
      </c>
      <c r="G130" s="105">
        <f t="shared" si="27"/>
        <v>190.8</v>
      </c>
      <c r="H130" s="105">
        <f t="shared" si="27"/>
        <v>860</v>
      </c>
      <c r="I130" s="105">
        <f t="shared" si="12"/>
        <v>100</v>
      </c>
    </row>
    <row r="131" spans="1:9" s="119" customFormat="1" ht="24">
      <c r="A131" s="70" t="s">
        <v>472</v>
      </c>
      <c r="B131" s="71" t="s">
        <v>69</v>
      </c>
      <c r="C131" s="71" t="s">
        <v>86</v>
      </c>
      <c r="D131" s="75" t="s">
        <v>473</v>
      </c>
      <c r="E131" s="95"/>
      <c r="F131" s="80">
        <f t="shared" si="27"/>
        <v>860</v>
      </c>
      <c r="G131" s="80">
        <f t="shared" si="27"/>
        <v>190.8</v>
      </c>
      <c r="H131" s="80">
        <f t="shared" si="27"/>
        <v>860</v>
      </c>
      <c r="I131" s="80">
        <f t="shared" si="12"/>
        <v>100</v>
      </c>
    </row>
    <row r="132" spans="1:9" s="119" customFormat="1" ht="24">
      <c r="A132" s="58" t="s">
        <v>540</v>
      </c>
      <c r="B132" s="59" t="s">
        <v>69</v>
      </c>
      <c r="C132" s="59" t="s">
        <v>86</v>
      </c>
      <c r="D132" s="86" t="s">
        <v>541</v>
      </c>
      <c r="E132" s="94"/>
      <c r="F132" s="78">
        <f t="shared" si="27"/>
        <v>860</v>
      </c>
      <c r="G132" s="78">
        <f t="shared" si="27"/>
        <v>190.8</v>
      </c>
      <c r="H132" s="78">
        <f t="shared" si="27"/>
        <v>860</v>
      </c>
      <c r="I132" s="78">
        <f t="shared" si="12"/>
        <v>100</v>
      </c>
    </row>
    <row r="133" spans="1:9" s="119" customFormat="1">
      <c r="A133" s="65" t="s">
        <v>486</v>
      </c>
      <c r="B133" s="66" t="s">
        <v>69</v>
      </c>
      <c r="C133" s="66" t="s">
        <v>86</v>
      </c>
      <c r="D133" s="76" t="s">
        <v>541</v>
      </c>
      <c r="E133" s="81">
        <v>200</v>
      </c>
      <c r="F133" s="79">
        <f t="shared" si="27"/>
        <v>860</v>
      </c>
      <c r="G133" s="79">
        <f t="shared" si="27"/>
        <v>190.8</v>
      </c>
      <c r="H133" s="79">
        <f t="shared" si="27"/>
        <v>860</v>
      </c>
      <c r="I133" s="79">
        <f t="shared" si="12"/>
        <v>100</v>
      </c>
    </row>
    <row r="134" spans="1:9" s="119" customFormat="1">
      <c r="A134" s="65" t="s">
        <v>78</v>
      </c>
      <c r="B134" s="66" t="s">
        <v>69</v>
      </c>
      <c r="C134" s="66" t="s">
        <v>86</v>
      </c>
      <c r="D134" s="76" t="s">
        <v>541</v>
      </c>
      <c r="E134" s="81">
        <v>240</v>
      </c>
      <c r="F134" s="79">
        <v>860</v>
      </c>
      <c r="G134" s="79">
        <v>190.8</v>
      </c>
      <c r="H134" s="79">
        <v>860</v>
      </c>
      <c r="I134" s="79">
        <f t="shared" si="12"/>
        <v>100</v>
      </c>
    </row>
    <row r="135" spans="1:9" s="119" customFormat="1" ht="13.5" customHeight="1">
      <c r="A135" s="102" t="s">
        <v>478</v>
      </c>
      <c r="B135" s="61" t="s">
        <v>69</v>
      </c>
      <c r="C135" s="61" t="s">
        <v>86</v>
      </c>
      <c r="D135" s="61" t="s">
        <v>93</v>
      </c>
      <c r="E135" s="61"/>
      <c r="F135" s="62">
        <f t="shared" ref="F135:H138" si="28">F136</f>
        <v>800</v>
      </c>
      <c r="G135" s="62">
        <f t="shared" si="28"/>
        <v>381.4</v>
      </c>
      <c r="H135" s="62">
        <f t="shared" si="28"/>
        <v>800</v>
      </c>
      <c r="I135" s="62">
        <f t="shared" si="12"/>
        <v>100</v>
      </c>
    </row>
    <row r="136" spans="1:9" s="119" customFormat="1">
      <c r="A136" s="97" t="s">
        <v>438</v>
      </c>
      <c r="B136" s="59" t="s">
        <v>69</v>
      </c>
      <c r="C136" s="59" t="s">
        <v>86</v>
      </c>
      <c r="D136" s="59" t="s">
        <v>439</v>
      </c>
      <c r="E136" s="59"/>
      <c r="F136" s="60">
        <f t="shared" si="28"/>
        <v>800</v>
      </c>
      <c r="G136" s="60">
        <f t="shared" si="28"/>
        <v>381.4</v>
      </c>
      <c r="H136" s="60">
        <f t="shared" si="28"/>
        <v>800</v>
      </c>
      <c r="I136" s="60">
        <f t="shared" ref="I136:I199" si="29">H136/F136*100</f>
        <v>100</v>
      </c>
    </row>
    <row r="137" spans="1:9" s="119" customFormat="1">
      <c r="A137" s="84" t="s">
        <v>566</v>
      </c>
      <c r="B137" s="71" t="s">
        <v>69</v>
      </c>
      <c r="C137" s="71" t="s">
        <v>86</v>
      </c>
      <c r="D137" s="71" t="s">
        <v>567</v>
      </c>
      <c r="E137" s="71"/>
      <c r="F137" s="72">
        <f t="shared" si="28"/>
        <v>800</v>
      </c>
      <c r="G137" s="72">
        <f t="shared" si="28"/>
        <v>381.4</v>
      </c>
      <c r="H137" s="72">
        <f t="shared" si="28"/>
        <v>800</v>
      </c>
      <c r="I137" s="72">
        <f t="shared" si="29"/>
        <v>100</v>
      </c>
    </row>
    <row r="138" spans="1:9" s="119" customFormat="1" ht="24">
      <c r="A138" s="65" t="s">
        <v>72</v>
      </c>
      <c r="B138" s="66" t="s">
        <v>69</v>
      </c>
      <c r="C138" s="66" t="s">
        <v>86</v>
      </c>
      <c r="D138" s="66" t="s">
        <v>567</v>
      </c>
      <c r="E138" s="66" t="s">
        <v>73</v>
      </c>
      <c r="F138" s="67">
        <f t="shared" si="28"/>
        <v>800</v>
      </c>
      <c r="G138" s="67">
        <f t="shared" si="28"/>
        <v>381.4</v>
      </c>
      <c r="H138" s="67">
        <f t="shared" si="28"/>
        <v>800</v>
      </c>
      <c r="I138" s="67">
        <f t="shared" si="29"/>
        <v>100</v>
      </c>
    </row>
    <row r="139" spans="1:9" s="119" customFormat="1">
      <c r="A139" s="65" t="s">
        <v>74</v>
      </c>
      <c r="B139" s="66" t="s">
        <v>69</v>
      </c>
      <c r="C139" s="66" t="s">
        <v>86</v>
      </c>
      <c r="D139" s="66" t="s">
        <v>567</v>
      </c>
      <c r="E139" s="66" t="s">
        <v>75</v>
      </c>
      <c r="F139" s="67">
        <v>800</v>
      </c>
      <c r="G139" s="67">
        <v>381.4</v>
      </c>
      <c r="H139" s="67">
        <v>800</v>
      </c>
      <c r="I139" s="67">
        <f t="shared" si="29"/>
        <v>100</v>
      </c>
    </row>
    <row r="140" spans="1:9" s="119" customFormat="1">
      <c r="A140" s="89" t="s">
        <v>67</v>
      </c>
      <c r="B140" s="71" t="s">
        <v>69</v>
      </c>
      <c r="C140" s="71" t="s">
        <v>86</v>
      </c>
      <c r="D140" s="71" t="s">
        <v>187</v>
      </c>
      <c r="E140" s="71"/>
      <c r="F140" s="72">
        <f>F141+F170</f>
        <v>77424.09173</v>
      </c>
      <c r="G140" s="72">
        <f>G141+G170</f>
        <v>56383.745850000007</v>
      </c>
      <c r="H140" s="72">
        <f>H141+H170</f>
        <v>77424.09173</v>
      </c>
      <c r="I140" s="72">
        <f t="shared" si="29"/>
        <v>100</v>
      </c>
    </row>
    <row r="141" spans="1:9" s="119" customFormat="1">
      <c r="A141" s="58" t="s">
        <v>272</v>
      </c>
      <c r="B141" s="59" t="s">
        <v>69</v>
      </c>
      <c r="C141" s="59" t="s">
        <v>86</v>
      </c>
      <c r="D141" s="59" t="s">
        <v>188</v>
      </c>
      <c r="E141" s="59"/>
      <c r="F141" s="60">
        <f>F142+F157+F160+F164+F167</f>
        <v>75204.09173</v>
      </c>
      <c r="G141" s="60">
        <f>G142+G157+G160+G164+G167</f>
        <v>54533.747130000003</v>
      </c>
      <c r="H141" s="60">
        <f>H142+H157+H160+H164+H167</f>
        <v>75204.09173</v>
      </c>
      <c r="I141" s="60">
        <f t="shared" si="29"/>
        <v>100</v>
      </c>
    </row>
    <row r="142" spans="1:9" s="119" customFormat="1">
      <c r="A142" s="87" t="s">
        <v>425</v>
      </c>
      <c r="B142" s="83" t="s">
        <v>69</v>
      </c>
      <c r="C142" s="83" t="s">
        <v>86</v>
      </c>
      <c r="D142" s="83" t="s">
        <v>188</v>
      </c>
      <c r="E142" s="71"/>
      <c r="F142" s="88">
        <f>F143+F150</f>
        <v>58432</v>
      </c>
      <c r="G142" s="88">
        <f>G143+G150</f>
        <v>45417.43131</v>
      </c>
      <c r="H142" s="88">
        <f>H143+H150</f>
        <v>58432</v>
      </c>
      <c r="I142" s="88">
        <f t="shared" si="29"/>
        <v>100</v>
      </c>
    </row>
    <row r="143" spans="1:9" s="119" customFormat="1">
      <c r="A143" s="58" t="s">
        <v>466</v>
      </c>
      <c r="B143" s="59" t="s">
        <v>69</v>
      </c>
      <c r="C143" s="59" t="s">
        <v>86</v>
      </c>
      <c r="D143" s="59" t="s">
        <v>289</v>
      </c>
      <c r="E143" s="59"/>
      <c r="F143" s="60">
        <f>F144+F146+F148</f>
        <v>49264.9</v>
      </c>
      <c r="G143" s="60">
        <f>G144+G146+G148</f>
        <v>39151.975169999998</v>
      </c>
      <c r="H143" s="60">
        <f>H144+H146+H148</f>
        <v>49264.9</v>
      </c>
      <c r="I143" s="60">
        <f t="shared" si="29"/>
        <v>100</v>
      </c>
    </row>
    <row r="144" spans="1:9" s="119" customFormat="1" ht="24">
      <c r="A144" s="65" t="s">
        <v>72</v>
      </c>
      <c r="B144" s="66" t="s">
        <v>69</v>
      </c>
      <c r="C144" s="66" t="s">
        <v>86</v>
      </c>
      <c r="D144" s="66" t="s">
        <v>289</v>
      </c>
      <c r="E144" s="66" t="s">
        <v>73</v>
      </c>
      <c r="F144" s="67">
        <f>F145</f>
        <v>37434.9</v>
      </c>
      <c r="G144" s="67">
        <f>G145</f>
        <v>32429.728480000002</v>
      </c>
      <c r="H144" s="67">
        <f>H145</f>
        <v>37434.9</v>
      </c>
      <c r="I144" s="67">
        <f t="shared" si="29"/>
        <v>100</v>
      </c>
    </row>
    <row r="145" spans="1:9" s="119" customFormat="1">
      <c r="A145" s="65" t="s">
        <v>426</v>
      </c>
      <c r="B145" s="66" t="s">
        <v>69</v>
      </c>
      <c r="C145" s="66" t="s">
        <v>86</v>
      </c>
      <c r="D145" s="66" t="s">
        <v>289</v>
      </c>
      <c r="E145" s="66" t="s">
        <v>427</v>
      </c>
      <c r="F145" s="67">
        <f>27850+100+8400-618.4+1703.3</f>
        <v>37434.9</v>
      </c>
      <c r="G145" s="67">
        <v>32429.728480000002</v>
      </c>
      <c r="H145" s="67">
        <f>27850+100+8400-618.4+1703.3</f>
        <v>37434.9</v>
      </c>
      <c r="I145" s="67">
        <f t="shared" si="29"/>
        <v>100</v>
      </c>
    </row>
    <row r="146" spans="1:9" s="119" customFormat="1">
      <c r="A146" s="65" t="s">
        <v>486</v>
      </c>
      <c r="B146" s="66" t="s">
        <v>69</v>
      </c>
      <c r="C146" s="66" t="s">
        <v>86</v>
      </c>
      <c r="D146" s="66" t="s">
        <v>289</v>
      </c>
      <c r="E146" s="66" t="s">
        <v>77</v>
      </c>
      <c r="F146" s="67">
        <f>F147</f>
        <v>11580</v>
      </c>
      <c r="G146" s="67">
        <f>G147</f>
        <v>6708.9268599999996</v>
      </c>
      <c r="H146" s="67">
        <f>H147</f>
        <v>11580</v>
      </c>
      <c r="I146" s="67">
        <f t="shared" si="29"/>
        <v>100</v>
      </c>
    </row>
    <row r="147" spans="1:9" s="119" customFormat="1">
      <c r="A147" s="65" t="s">
        <v>78</v>
      </c>
      <c r="B147" s="66" t="s">
        <v>69</v>
      </c>
      <c r="C147" s="66" t="s">
        <v>86</v>
      </c>
      <c r="D147" s="66" t="s">
        <v>289</v>
      </c>
      <c r="E147" s="66" t="s">
        <v>79</v>
      </c>
      <c r="F147" s="67">
        <f>8830+1000+900+850</f>
        <v>11580</v>
      </c>
      <c r="G147" s="67">
        <v>6708.9268599999996</v>
      </c>
      <c r="H147" s="67">
        <f>8830+1000+900+850</f>
        <v>11580</v>
      </c>
      <c r="I147" s="67">
        <f t="shared" si="29"/>
        <v>100</v>
      </c>
    </row>
    <row r="148" spans="1:9" s="119" customFormat="1">
      <c r="A148" s="65" t="s">
        <v>80</v>
      </c>
      <c r="B148" s="66" t="s">
        <v>69</v>
      </c>
      <c r="C148" s="66" t="s">
        <v>86</v>
      </c>
      <c r="D148" s="66" t="s">
        <v>289</v>
      </c>
      <c r="E148" s="66" t="s">
        <v>81</v>
      </c>
      <c r="F148" s="67">
        <f>F149</f>
        <v>250</v>
      </c>
      <c r="G148" s="67">
        <f>G149</f>
        <v>13.31983</v>
      </c>
      <c r="H148" s="67">
        <f>H149</f>
        <v>250</v>
      </c>
      <c r="I148" s="67">
        <f t="shared" si="29"/>
        <v>100</v>
      </c>
    </row>
    <row r="149" spans="1:9" s="119" customFormat="1">
      <c r="A149" s="65" t="s">
        <v>445</v>
      </c>
      <c r="B149" s="66" t="s">
        <v>69</v>
      </c>
      <c r="C149" s="66" t="s">
        <v>86</v>
      </c>
      <c r="D149" s="66" t="s">
        <v>289</v>
      </c>
      <c r="E149" s="66" t="s">
        <v>82</v>
      </c>
      <c r="F149" s="67">
        <v>250</v>
      </c>
      <c r="G149" s="67">
        <v>13.31983</v>
      </c>
      <c r="H149" s="67">
        <v>250</v>
      </c>
      <c r="I149" s="67">
        <f t="shared" si="29"/>
        <v>100</v>
      </c>
    </row>
    <row r="150" spans="1:9" s="119" customFormat="1">
      <c r="A150" s="58" t="s">
        <v>523</v>
      </c>
      <c r="B150" s="59" t="s">
        <v>69</v>
      </c>
      <c r="C150" s="59" t="s">
        <v>86</v>
      </c>
      <c r="D150" s="59" t="s">
        <v>294</v>
      </c>
      <c r="E150" s="59"/>
      <c r="F150" s="60">
        <f>F151+F153+F155</f>
        <v>9167.1</v>
      </c>
      <c r="G150" s="60">
        <f>G151+G153+G155</f>
        <v>6265.4561400000002</v>
      </c>
      <c r="H150" s="60">
        <f>H151+H153+H155</f>
        <v>9167.1</v>
      </c>
      <c r="I150" s="60">
        <f t="shared" si="29"/>
        <v>100</v>
      </c>
    </row>
    <row r="151" spans="1:9" s="119" customFormat="1" ht="24">
      <c r="A151" s="65" t="s">
        <v>72</v>
      </c>
      <c r="B151" s="66" t="s">
        <v>69</v>
      </c>
      <c r="C151" s="66" t="s">
        <v>86</v>
      </c>
      <c r="D151" s="66" t="s">
        <v>294</v>
      </c>
      <c r="E151" s="66" t="s">
        <v>73</v>
      </c>
      <c r="F151" s="67">
        <f>F152</f>
        <v>8160</v>
      </c>
      <c r="G151" s="67">
        <f>G152</f>
        <v>6000.2560400000002</v>
      </c>
      <c r="H151" s="67">
        <f>H152</f>
        <v>8160</v>
      </c>
      <c r="I151" s="67">
        <f t="shared" si="29"/>
        <v>100</v>
      </c>
    </row>
    <row r="152" spans="1:9" s="119" customFormat="1">
      <c r="A152" s="65" t="s">
        <v>426</v>
      </c>
      <c r="B152" s="66" t="s">
        <v>69</v>
      </c>
      <c r="C152" s="66" t="s">
        <v>86</v>
      </c>
      <c r="D152" s="66" t="s">
        <v>294</v>
      </c>
      <c r="E152" s="66" t="s">
        <v>427</v>
      </c>
      <c r="F152" s="67">
        <f>8115-30+15+60</f>
        <v>8160</v>
      </c>
      <c r="G152" s="67">
        <v>6000.2560400000002</v>
      </c>
      <c r="H152" s="67">
        <f>8115-30+15+60</f>
        <v>8160</v>
      </c>
      <c r="I152" s="67">
        <f t="shared" si="29"/>
        <v>100</v>
      </c>
    </row>
    <row r="153" spans="1:9" s="119" customFormat="1">
      <c r="A153" s="65" t="s">
        <v>486</v>
      </c>
      <c r="B153" s="66" t="s">
        <v>69</v>
      </c>
      <c r="C153" s="66" t="s">
        <v>86</v>
      </c>
      <c r="D153" s="66" t="s">
        <v>294</v>
      </c>
      <c r="E153" s="66" t="s">
        <v>77</v>
      </c>
      <c r="F153" s="67">
        <f>F154</f>
        <v>992.1</v>
      </c>
      <c r="G153" s="67">
        <f>G154</f>
        <v>265.20010000000002</v>
      </c>
      <c r="H153" s="67">
        <f>H154</f>
        <v>992.1</v>
      </c>
      <c r="I153" s="67">
        <f t="shared" si="29"/>
        <v>100</v>
      </c>
    </row>
    <row r="154" spans="1:9" s="119" customFormat="1">
      <c r="A154" s="65" t="s">
        <v>78</v>
      </c>
      <c r="B154" s="66" t="s">
        <v>69</v>
      </c>
      <c r="C154" s="66" t="s">
        <v>86</v>
      </c>
      <c r="D154" s="66" t="s">
        <v>294</v>
      </c>
      <c r="E154" s="66" t="s">
        <v>79</v>
      </c>
      <c r="F154" s="67">
        <f>315+330+347.1</f>
        <v>992.1</v>
      </c>
      <c r="G154" s="67">
        <v>265.20010000000002</v>
      </c>
      <c r="H154" s="67">
        <f>315+330+347.1</f>
        <v>992.1</v>
      </c>
      <c r="I154" s="67">
        <f t="shared" si="29"/>
        <v>100</v>
      </c>
    </row>
    <row r="155" spans="1:9" s="119" customFormat="1">
      <c r="A155" s="65" t="s">
        <v>80</v>
      </c>
      <c r="B155" s="66" t="s">
        <v>69</v>
      </c>
      <c r="C155" s="66" t="s">
        <v>86</v>
      </c>
      <c r="D155" s="66" t="s">
        <v>294</v>
      </c>
      <c r="E155" s="66" t="s">
        <v>81</v>
      </c>
      <c r="F155" s="67">
        <f>F156</f>
        <v>15</v>
      </c>
      <c r="G155" s="279">
        <f>G156</f>
        <v>0</v>
      </c>
      <c r="H155" s="67">
        <f>H156</f>
        <v>15</v>
      </c>
      <c r="I155" s="67">
        <f t="shared" si="29"/>
        <v>100</v>
      </c>
    </row>
    <row r="156" spans="1:9" s="119" customFormat="1">
      <c r="A156" s="65" t="s">
        <v>445</v>
      </c>
      <c r="B156" s="66" t="s">
        <v>69</v>
      </c>
      <c r="C156" s="66" t="s">
        <v>86</v>
      </c>
      <c r="D156" s="66" t="s">
        <v>294</v>
      </c>
      <c r="E156" s="66" t="s">
        <v>82</v>
      </c>
      <c r="F156" s="67">
        <v>15</v>
      </c>
      <c r="G156" s="279">
        <v>0</v>
      </c>
      <c r="H156" s="67">
        <v>15</v>
      </c>
      <c r="I156" s="67">
        <f t="shared" si="29"/>
        <v>100</v>
      </c>
    </row>
    <row r="157" spans="1:9" s="119" customFormat="1" ht="24">
      <c r="A157" s="58" t="s">
        <v>116</v>
      </c>
      <c r="B157" s="59" t="s">
        <v>69</v>
      </c>
      <c r="C157" s="59" t="s">
        <v>86</v>
      </c>
      <c r="D157" s="59" t="s">
        <v>524</v>
      </c>
      <c r="E157" s="59"/>
      <c r="F157" s="60">
        <f t="shared" ref="F157:H158" si="30">F158</f>
        <v>4000</v>
      </c>
      <c r="G157" s="60">
        <f t="shared" si="30"/>
        <v>4000</v>
      </c>
      <c r="H157" s="60">
        <f t="shared" si="30"/>
        <v>4000</v>
      </c>
      <c r="I157" s="60">
        <f t="shared" si="29"/>
        <v>100</v>
      </c>
    </row>
    <row r="158" spans="1:9" s="119" customFormat="1">
      <c r="A158" s="65" t="s">
        <v>80</v>
      </c>
      <c r="B158" s="66" t="s">
        <v>69</v>
      </c>
      <c r="C158" s="66" t="s">
        <v>86</v>
      </c>
      <c r="D158" s="66" t="s">
        <v>524</v>
      </c>
      <c r="E158" s="66" t="s">
        <v>81</v>
      </c>
      <c r="F158" s="67">
        <f t="shared" si="30"/>
        <v>4000</v>
      </c>
      <c r="G158" s="67">
        <f t="shared" si="30"/>
        <v>4000</v>
      </c>
      <c r="H158" s="67">
        <f t="shared" si="30"/>
        <v>4000</v>
      </c>
      <c r="I158" s="67">
        <f t="shared" si="29"/>
        <v>100</v>
      </c>
    </row>
    <row r="159" spans="1:9" s="119" customFormat="1">
      <c r="A159" s="65" t="s">
        <v>445</v>
      </c>
      <c r="B159" s="66" t="s">
        <v>69</v>
      </c>
      <c r="C159" s="66" t="s">
        <v>86</v>
      </c>
      <c r="D159" s="66" t="s">
        <v>524</v>
      </c>
      <c r="E159" s="66" t="s">
        <v>82</v>
      </c>
      <c r="F159" s="67">
        <f>4000</f>
        <v>4000</v>
      </c>
      <c r="G159" s="67">
        <v>4000</v>
      </c>
      <c r="H159" s="67">
        <f>4000</f>
        <v>4000</v>
      </c>
      <c r="I159" s="67">
        <f t="shared" si="29"/>
        <v>100</v>
      </c>
    </row>
    <row r="160" spans="1:9" s="119" customFormat="1">
      <c r="A160" s="58" t="s">
        <v>286</v>
      </c>
      <c r="B160" s="59" t="s">
        <v>69</v>
      </c>
      <c r="C160" s="59" t="s">
        <v>86</v>
      </c>
      <c r="D160" s="86" t="s">
        <v>525</v>
      </c>
      <c r="E160" s="59"/>
      <c r="F160" s="78">
        <f>F161</f>
        <v>5938.7317299999995</v>
      </c>
      <c r="G160" s="78">
        <f>G161</f>
        <v>3924.5318200000002</v>
      </c>
      <c r="H160" s="78">
        <f>H161</f>
        <v>5938.7317299999995</v>
      </c>
      <c r="I160" s="78">
        <f t="shared" si="29"/>
        <v>100</v>
      </c>
    </row>
    <row r="161" spans="1:9" s="119" customFormat="1">
      <c r="A161" s="65" t="s">
        <v>80</v>
      </c>
      <c r="B161" s="66" t="s">
        <v>69</v>
      </c>
      <c r="C161" s="66" t="s">
        <v>86</v>
      </c>
      <c r="D161" s="76" t="s">
        <v>525</v>
      </c>
      <c r="E161" s="66" t="s">
        <v>81</v>
      </c>
      <c r="F161" s="79">
        <f>F162+F163</f>
        <v>5938.7317299999995</v>
      </c>
      <c r="G161" s="79">
        <f>G162+G163</f>
        <v>3924.5318200000002</v>
      </c>
      <c r="H161" s="79">
        <f>H162+H163</f>
        <v>5938.7317299999995</v>
      </c>
      <c r="I161" s="79">
        <f t="shared" si="29"/>
        <v>100</v>
      </c>
    </row>
    <row r="162" spans="1:9" s="119" customFormat="1">
      <c r="A162" s="65" t="s">
        <v>133</v>
      </c>
      <c r="B162" s="66" t="s">
        <v>69</v>
      </c>
      <c r="C162" s="66" t="s">
        <v>86</v>
      </c>
      <c r="D162" s="76" t="s">
        <v>525</v>
      </c>
      <c r="E162" s="66" t="s">
        <v>136</v>
      </c>
      <c r="F162" s="79">
        <v>5412.1597599999996</v>
      </c>
      <c r="G162" s="79">
        <v>3497.9598500000002</v>
      </c>
      <c r="H162" s="79">
        <v>5412.1597599999996</v>
      </c>
      <c r="I162" s="79">
        <f t="shared" si="29"/>
        <v>100</v>
      </c>
    </row>
    <row r="163" spans="1:9" s="119" customFormat="1">
      <c r="A163" s="65" t="s">
        <v>445</v>
      </c>
      <c r="B163" s="66" t="s">
        <v>69</v>
      </c>
      <c r="C163" s="66" t="s">
        <v>86</v>
      </c>
      <c r="D163" s="76" t="s">
        <v>525</v>
      </c>
      <c r="E163" s="66" t="s">
        <v>82</v>
      </c>
      <c r="F163" s="79">
        <v>526.57196999999996</v>
      </c>
      <c r="G163" s="79">
        <v>426.57197000000002</v>
      </c>
      <c r="H163" s="79">
        <v>526.57196999999996</v>
      </c>
      <c r="I163" s="79">
        <f t="shared" si="29"/>
        <v>100</v>
      </c>
    </row>
    <row r="164" spans="1:9" s="119" customFormat="1" ht="24">
      <c r="A164" s="70" t="s">
        <v>276</v>
      </c>
      <c r="B164" s="71" t="s">
        <v>69</v>
      </c>
      <c r="C164" s="71" t="s">
        <v>86</v>
      </c>
      <c r="D164" s="71" t="s">
        <v>657</v>
      </c>
      <c r="E164" s="95"/>
      <c r="F164" s="72">
        <f t="shared" ref="F164:H165" si="31">F165</f>
        <v>847.9</v>
      </c>
      <c r="G164" s="72">
        <f t="shared" si="31"/>
        <v>397.42</v>
      </c>
      <c r="H164" s="72">
        <f t="shared" si="31"/>
        <v>847.9</v>
      </c>
      <c r="I164" s="72">
        <f t="shared" si="29"/>
        <v>100</v>
      </c>
    </row>
    <row r="165" spans="1:9" s="119" customFormat="1">
      <c r="A165" s="65" t="s">
        <v>486</v>
      </c>
      <c r="B165" s="66" t="s">
        <v>69</v>
      </c>
      <c r="C165" s="66" t="s">
        <v>86</v>
      </c>
      <c r="D165" s="66" t="s">
        <v>657</v>
      </c>
      <c r="E165" s="81">
        <v>200</v>
      </c>
      <c r="F165" s="67">
        <f t="shared" si="31"/>
        <v>847.9</v>
      </c>
      <c r="G165" s="67">
        <f t="shared" si="31"/>
        <v>397.42</v>
      </c>
      <c r="H165" s="67">
        <f t="shared" si="31"/>
        <v>847.9</v>
      </c>
      <c r="I165" s="67">
        <f t="shared" si="29"/>
        <v>100</v>
      </c>
    </row>
    <row r="166" spans="1:9" s="119" customFormat="1">
      <c r="A166" s="65" t="s">
        <v>78</v>
      </c>
      <c r="B166" s="66" t="s">
        <v>69</v>
      </c>
      <c r="C166" s="66" t="s">
        <v>86</v>
      </c>
      <c r="D166" s="66" t="s">
        <v>657</v>
      </c>
      <c r="E166" s="66" t="s">
        <v>79</v>
      </c>
      <c r="F166" s="67">
        <f>1000-152.1</f>
        <v>847.9</v>
      </c>
      <c r="G166" s="67">
        <v>397.42</v>
      </c>
      <c r="H166" s="67">
        <f>1000-152.1</f>
        <v>847.9</v>
      </c>
      <c r="I166" s="67">
        <f t="shared" si="29"/>
        <v>100</v>
      </c>
    </row>
    <row r="167" spans="1:9" s="23" customFormat="1">
      <c r="A167" s="133" t="s">
        <v>762</v>
      </c>
      <c r="B167" s="132" t="s">
        <v>69</v>
      </c>
      <c r="C167" s="132" t="s">
        <v>86</v>
      </c>
      <c r="D167" s="210" t="s">
        <v>763</v>
      </c>
      <c r="E167" s="132"/>
      <c r="F167" s="196">
        <f t="shared" ref="F167:H168" si="32">F168</f>
        <v>5985.46</v>
      </c>
      <c r="G167" s="196">
        <f t="shared" si="32"/>
        <v>794.36400000000003</v>
      </c>
      <c r="H167" s="196">
        <f t="shared" si="32"/>
        <v>5985.46</v>
      </c>
      <c r="I167" s="196">
        <f t="shared" si="29"/>
        <v>100</v>
      </c>
    </row>
    <row r="168" spans="1:9" s="23" customFormat="1">
      <c r="A168" s="131" t="s">
        <v>486</v>
      </c>
      <c r="B168" s="22" t="s">
        <v>69</v>
      </c>
      <c r="C168" s="22" t="s">
        <v>86</v>
      </c>
      <c r="D168" s="211" t="s">
        <v>763</v>
      </c>
      <c r="E168" s="22" t="s">
        <v>77</v>
      </c>
      <c r="F168" s="176">
        <f t="shared" si="32"/>
        <v>5985.46</v>
      </c>
      <c r="G168" s="176">
        <f t="shared" si="32"/>
        <v>794.36400000000003</v>
      </c>
      <c r="H168" s="176">
        <f t="shared" si="32"/>
        <v>5985.46</v>
      </c>
      <c r="I168" s="176">
        <f t="shared" si="29"/>
        <v>100</v>
      </c>
    </row>
    <row r="169" spans="1:9" s="23" customFormat="1">
      <c r="A169" s="131" t="s">
        <v>78</v>
      </c>
      <c r="B169" s="22" t="s">
        <v>69</v>
      </c>
      <c r="C169" s="22" t="s">
        <v>86</v>
      </c>
      <c r="D169" s="211" t="s">
        <v>763</v>
      </c>
      <c r="E169" s="22" t="s">
        <v>79</v>
      </c>
      <c r="F169" s="176">
        <v>5985.46</v>
      </c>
      <c r="G169" s="176">
        <v>794.36400000000003</v>
      </c>
      <c r="H169" s="176">
        <v>5985.46</v>
      </c>
      <c r="I169" s="176">
        <f t="shared" si="29"/>
        <v>100</v>
      </c>
    </row>
    <row r="170" spans="1:9" s="119" customFormat="1">
      <c r="A170" s="70" t="s">
        <v>34</v>
      </c>
      <c r="B170" s="71" t="s">
        <v>69</v>
      </c>
      <c r="C170" s="71" t="s">
        <v>86</v>
      </c>
      <c r="D170" s="71" t="s">
        <v>187</v>
      </c>
      <c r="E170" s="71"/>
      <c r="F170" s="80">
        <f t="shared" ref="F170:H171" si="33">F171</f>
        <v>2220</v>
      </c>
      <c r="G170" s="80">
        <f t="shared" si="33"/>
        <v>1849.99872</v>
      </c>
      <c r="H170" s="80">
        <f t="shared" si="33"/>
        <v>2220</v>
      </c>
      <c r="I170" s="80">
        <f t="shared" si="29"/>
        <v>100</v>
      </c>
    </row>
    <row r="171" spans="1:9" s="119" customFormat="1">
      <c r="A171" s="58" t="s">
        <v>98</v>
      </c>
      <c r="B171" s="59" t="s">
        <v>69</v>
      </c>
      <c r="C171" s="59" t="s">
        <v>86</v>
      </c>
      <c r="D171" s="59" t="s">
        <v>188</v>
      </c>
      <c r="E171" s="59"/>
      <c r="F171" s="78">
        <f t="shared" si="33"/>
        <v>2220</v>
      </c>
      <c r="G171" s="78">
        <f t="shared" si="33"/>
        <v>1849.99872</v>
      </c>
      <c r="H171" s="78">
        <f t="shared" si="33"/>
        <v>2220</v>
      </c>
      <c r="I171" s="78">
        <f t="shared" si="29"/>
        <v>100</v>
      </c>
    </row>
    <row r="172" spans="1:9" s="119" customFormat="1" ht="24">
      <c r="A172" s="87" t="s">
        <v>27</v>
      </c>
      <c r="B172" s="83" t="s">
        <v>69</v>
      </c>
      <c r="C172" s="83" t="s">
        <v>86</v>
      </c>
      <c r="D172" s="83" t="s">
        <v>204</v>
      </c>
      <c r="E172" s="83"/>
      <c r="F172" s="124">
        <f>F173+F176</f>
        <v>2220</v>
      </c>
      <c r="G172" s="124">
        <f>G173+G176</f>
        <v>1849.99872</v>
      </c>
      <c r="H172" s="124">
        <f>H173+H176</f>
        <v>2220</v>
      </c>
      <c r="I172" s="124">
        <f t="shared" si="29"/>
        <v>100</v>
      </c>
    </row>
    <row r="173" spans="1:9" s="119" customFormat="1">
      <c r="A173" s="73" t="s">
        <v>35</v>
      </c>
      <c r="B173" s="59" t="s">
        <v>69</v>
      </c>
      <c r="C173" s="59" t="s">
        <v>86</v>
      </c>
      <c r="D173" s="59" t="s">
        <v>204</v>
      </c>
      <c r="E173" s="59"/>
      <c r="F173" s="78">
        <f t="shared" ref="F173:H174" si="34">F174</f>
        <v>2192.5</v>
      </c>
      <c r="G173" s="78">
        <f t="shared" si="34"/>
        <v>1822.49872</v>
      </c>
      <c r="H173" s="78">
        <f t="shared" si="34"/>
        <v>2192.5</v>
      </c>
      <c r="I173" s="78">
        <f t="shared" si="29"/>
        <v>100</v>
      </c>
    </row>
    <row r="174" spans="1:9" s="119" customFormat="1" ht="24">
      <c r="A174" s="65" t="s">
        <v>72</v>
      </c>
      <c r="B174" s="66" t="s">
        <v>69</v>
      </c>
      <c r="C174" s="66" t="s">
        <v>86</v>
      </c>
      <c r="D174" s="66" t="s">
        <v>204</v>
      </c>
      <c r="E174" s="66" t="s">
        <v>73</v>
      </c>
      <c r="F174" s="79">
        <f t="shared" si="34"/>
        <v>2192.5</v>
      </c>
      <c r="G174" s="79">
        <f t="shared" si="34"/>
        <v>1822.49872</v>
      </c>
      <c r="H174" s="79">
        <f t="shared" si="34"/>
        <v>2192.5</v>
      </c>
      <c r="I174" s="79">
        <f t="shared" si="29"/>
        <v>100</v>
      </c>
    </row>
    <row r="175" spans="1:9" s="119" customFormat="1">
      <c r="A175" s="65" t="s">
        <v>74</v>
      </c>
      <c r="B175" s="66" t="s">
        <v>69</v>
      </c>
      <c r="C175" s="66" t="s">
        <v>86</v>
      </c>
      <c r="D175" s="66" t="s">
        <v>204</v>
      </c>
      <c r="E175" s="66" t="s">
        <v>75</v>
      </c>
      <c r="F175" s="79">
        <f>2220-27.5</f>
        <v>2192.5</v>
      </c>
      <c r="G175" s="79">
        <v>1822.49872</v>
      </c>
      <c r="H175" s="79">
        <f>2220-27.5</f>
        <v>2192.5</v>
      </c>
      <c r="I175" s="79">
        <f t="shared" si="29"/>
        <v>100</v>
      </c>
    </row>
    <row r="176" spans="1:9" s="119" customFormat="1">
      <c r="A176" s="58" t="s">
        <v>738</v>
      </c>
      <c r="B176" s="59" t="s">
        <v>69</v>
      </c>
      <c r="C176" s="59" t="s">
        <v>86</v>
      </c>
      <c r="D176" s="59" t="s">
        <v>204</v>
      </c>
      <c r="E176" s="59"/>
      <c r="F176" s="78">
        <f t="shared" ref="F176:H177" si="35">F177</f>
        <v>27.5</v>
      </c>
      <c r="G176" s="78">
        <f t="shared" si="35"/>
        <v>27.5</v>
      </c>
      <c r="H176" s="78">
        <f t="shared" si="35"/>
        <v>27.5</v>
      </c>
      <c r="I176" s="78">
        <f t="shared" si="29"/>
        <v>100</v>
      </c>
    </row>
    <row r="177" spans="1:9" s="119" customFormat="1">
      <c r="A177" s="65" t="s">
        <v>486</v>
      </c>
      <c r="B177" s="66" t="s">
        <v>69</v>
      </c>
      <c r="C177" s="66" t="s">
        <v>86</v>
      </c>
      <c r="D177" s="66" t="s">
        <v>204</v>
      </c>
      <c r="E177" s="81">
        <v>200</v>
      </c>
      <c r="F177" s="79">
        <f t="shared" si="35"/>
        <v>27.5</v>
      </c>
      <c r="G177" s="79">
        <f t="shared" si="35"/>
        <v>27.5</v>
      </c>
      <c r="H177" s="79">
        <f t="shared" si="35"/>
        <v>27.5</v>
      </c>
      <c r="I177" s="79">
        <f t="shared" si="29"/>
        <v>100</v>
      </c>
    </row>
    <row r="178" spans="1:9" s="119" customFormat="1">
      <c r="A178" s="65" t="s">
        <v>78</v>
      </c>
      <c r="B178" s="66" t="s">
        <v>69</v>
      </c>
      <c r="C178" s="66" t="s">
        <v>86</v>
      </c>
      <c r="D178" s="66" t="s">
        <v>204</v>
      </c>
      <c r="E178" s="66" t="s">
        <v>79</v>
      </c>
      <c r="F178" s="79">
        <v>27.5</v>
      </c>
      <c r="G178" s="79">
        <v>27.5</v>
      </c>
      <c r="H178" s="79">
        <v>27.5</v>
      </c>
      <c r="I178" s="79">
        <f t="shared" si="29"/>
        <v>100</v>
      </c>
    </row>
    <row r="179" spans="1:9" s="119" customFormat="1">
      <c r="A179" s="58" t="s">
        <v>287</v>
      </c>
      <c r="B179" s="59" t="s">
        <v>423</v>
      </c>
      <c r="C179" s="59" t="s">
        <v>70</v>
      </c>
      <c r="D179" s="59"/>
      <c r="E179" s="59"/>
      <c r="F179" s="60">
        <f t="shared" ref="F179:H181" si="36">F180</f>
        <v>5250</v>
      </c>
      <c r="G179" s="60">
        <f t="shared" si="36"/>
        <v>3434.7066599999998</v>
      </c>
      <c r="H179" s="60">
        <f t="shared" si="36"/>
        <v>5250</v>
      </c>
      <c r="I179" s="60">
        <f t="shared" si="29"/>
        <v>100</v>
      </c>
    </row>
    <row r="180" spans="1:9" s="119" customFormat="1" ht="24" customHeight="1">
      <c r="A180" s="58" t="s">
        <v>542</v>
      </c>
      <c r="B180" s="59" t="s">
        <v>423</v>
      </c>
      <c r="C180" s="59" t="s">
        <v>446</v>
      </c>
      <c r="D180" s="59"/>
      <c r="E180" s="59"/>
      <c r="F180" s="60">
        <f t="shared" si="36"/>
        <v>5250</v>
      </c>
      <c r="G180" s="60">
        <f t="shared" si="36"/>
        <v>3434.7066599999998</v>
      </c>
      <c r="H180" s="60">
        <f t="shared" si="36"/>
        <v>5250</v>
      </c>
      <c r="I180" s="60">
        <f t="shared" si="29"/>
        <v>100</v>
      </c>
    </row>
    <row r="181" spans="1:9" s="119" customFormat="1">
      <c r="A181" s="70" t="s">
        <v>396</v>
      </c>
      <c r="B181" s="71" t="s">
        <v>423</v>
      </c>
      <c r="C181" s="71" t="s">
        <v>446</v>
      </c>
      <c r="D181" s="71" t="s">
        <v>187</v>
      </c>
      <c r="E181" s="71"/>
      <c r="F181" s="72">
        <f t="shared" si="36"/>
        <v>5250</v>
      </c>
      <c r="G181" s="72">
        <f t="shared" si="36"/>
        <v>3434.7066599999998</v>
      </c>
      <c r="H181" s="72">
        <f t="shared" si="36"/>
        <v>5250</v>
      </c>
      <c r="I181" s="72">
        <f t="shared" si="29"/>
        <v>100</v>
      </c>
    </row>
    <row r="182" spans="1:9" s="119" customFormat="1">
      <c r="A182" s="58" t="s">
        <v>272</v>
      </c>
      <c r="B182" s="59" t="s">
        <v>423</v>
      </c>
      <c r="C182" s="59" t="s">
        <v>446</v>
      </c>
      <c r="D182" s="59" t="s">
        <v>188</v>
      </c>
      <c r="E182" s="59"/>
      <c r="F182" s="60">
        <f>F183+F187</f>
        <v>5250</v>
      </c>
      <c r="G182" s="60">
        <f>G183+G187</f>
        <v>3434.7066599999998</v>
      </c>
      <c r="H182" s="60">
        <f>H183+H187</f>
        <v>5250</v>
      </c>
      <c r="I182" s="60">
        <f t="shared" si="29"/>
        <v>100</v>
      </c>
    </row>
    <row r="183" spans="1:9" s="119" customFormat="1" ht="24">
      <c r="A183" s="58" t="s">
        <v>115</v>
      </c>
      <c r="B183" s="59" t="s">
        <v>423</v>
      </c>
      <c r="C183" s="59" t="s">
        <v>446</v>
      </c>
      <c r="D183" s="59" t="s">
        <v>543</v>
      </c>
      <c r="E183" s="59"/>
      <c r="F183" s="60">
        <f t="shared" ref="F183:H184" si="37">F184</f>
        <v>1000</v>
      </c>
      <c r="G183" s="314">
        <f t="shared" si="37"/>
        <v>0</v>
      </c>
      <c r="H183" s="60">
        <f t="shared" si="37"/>
        <v>1000</v>
      </c>
      <c r="I183" s="60">
        <f t="shared" si="29"/>
        <v>100</v>
      </c>
    </row>
    <row r="184" spans="1:9" s="119" customFormat="1">
      <c r="A184" s="65" t="s">
        <v>486</v>
      </c>
      <c r="B184" s="66" t="s">
        <v>423</v>
      </c>
      <c r="C184" s="66" t="s">
        <v>446</v>
      </c>
      <c r="D184" s="66" t="s">
        <v>543</v>
      </c>
      <c r="E184" s="66" t="s">
        <v>77</v>
      </c>
      <c r="F184" s="67">
        <f t="shared" si="37"/>
        <v>1000</v>
      </c>
      <c r="G184" s="279">
        <f t="shared" si="37"/>
        <v>0</v>
      </c>
      <c r="H184" s="67">
        <f t="shared" si="37"/>
        <v>1000</v>
      </c>
      <c r="I184" s="67">
        <f t="shared" si="29"/>
        <v>100</v>
      </c>
    </row>
    <row r="185" spans="1:9" s="119" customFormat="1">
      <c r="A185" s="65" t="s">
        <v>78</v>
      </c>
      <c r="B185" s="66" t="s">
        <v>423</v>
      </c>
      <c r="C185" s="66" t="s">
        <v>446</v>
      </c>
      <c r="D185" s="66" t="s">
        <v>543</v>
      </c>
      <c r="E185" s="66" t="s">
        <v>79</v>
      </c>
      <c r="F185" s="67">
        <v>1000</v>
      </c>
      <c r="G185" s="279">
        <v>0</v>
      </c>
      <c r="H185" s="67">
        <v>1000</v>
      </c>
      <c r="I185" s="67">
        <f t="shared" si="29"/>
        <v>100</v>
      </c>
    </row>
    <row r="186" spans="1:9" s="119" customFormat="1">
      <c r="A186" s="87" t="s">
        <v>425</v>
      </c>
      <c r="B186" s="83" t="s">
        <v>423</v>
      </c>
      <c r="C186" s="83" t="s">
        <v>446</v>
      </c>
      <c r="D186" s="83" t="s">
        <v>188</v>
      </c>
      <c r="E186" s="83"/>
      <c r="F186" s="88">
        <f>F187</f>
        <v>4250</v>
      </c>
      <c r="G186" s="88">
        <f>G187</f>
        <v>3434.7066599999998</v>
      </c>
      <c r="H186" s="88">
        <f>H187</f>
        <v>4250</v>
      </c>
      <c r="I186" s="88">
        <f t="shared" si="29"/>
        <v>100</v>
      </c>
    </row>
    <row r="187" spans="1:9" s="119" customFormat="1">
      <c r="A187" s="58" t="s">
        <v>40</v>
      </c>
      <c r="B187" s="59" t="s">
        <v>423</v>
      </c>
      <c r="C187" s="59" t="s">
        <v>446</v>
      </c>
      <c r="D187" s="59" t="s">
        <v>544</v>
      </c>
      <c r="E187" s="59"/>
      <c r="F187" s="60">
        <f>F188+F190+F192</f>
        <v>4250</v>
      </c>
      <c r="G187" s="60">
        <f>G188+G190+G192</f>
        <v>3434.7066599999998</v>
      </c>
      <c r="H187" s="60">
        <f>H188+H190+H192</f>
        <v>4250</v>
      </c>
      <c r="I187" s="60">
        <f t="shared" si="29"/>
        <v>100</v>
      </c>
    </row>
    <row r="188" spans="1:9" s="119" customFormat="1" ht="24">
      <c r="A188" s="65" t="s">
        <v>72</v>
      </c>
      <c r="B188" s="66" t="s">
        <v>423</v>
      </c>
      <c r="C188" s="66" t="s">
        <v>446</v>
      </c>
      <c r="D188" s="66" t="s">
        <v>544</v>
      </c>
      <c r="E188" s="66" t="s">
        <v>73</v>
      </c>
      <c r="F188" s="67">
        <f>F189</f>
        <v>3704</v>
      </c>
      <c r="G188" s="67">
        <f>G189</f>
        <v>3128.0256599999998</v>
      </c>
      <c r="H188" s="67">
        <f>H189</f>
        <v>3704</v>
      </c>
      <c r="I188" s="67">
        <f t="shared" si="29"/>
        <v>100</v>
      </c>
    </row>
    <row r="189" spans="1:9" s="119" customFormat="1">
      <c r="A189" s="65" t="s">
        <v>426</v>
      </c>
      <c r="B189" s="66" t="s">
        <v>423</v>
      </c>
      <c r="C189" s="66" t="s">
        <v>446</v>
      </c>
      <c r="D189" s="66" t="s">
        <v>544</v>
      </c>
      <c r="E189" s="66" t="s">
        <v>427</v>
      </c>
      <c r="F189" s="67">
        <f>3624+80</f>
        <v>3704</v>
      </c>
      <c r="G189" s="67">
        <v>3128.0256599999998</v>
      </c>
      <c r="H189" s="67">
        <f>3624+80</f>
        <v>3704</v>
      </c>
      <c r="I189" s="67">
        <f t="shared" si="29"/>
        <v>100</v>
      </c>
    </row>
    <row r="190" spans="1:9" s="119" customFormat="1">
      <c r="A190" s="65" t="s">
        <v>486</v>
      </c>
      <c r="B190" s="66" t="s">
        <v>423</v>
      </c>
      <c r="C190" s="66" t="s">
        <v>446</v>
      </c>
      <c r="D190" s="66" t="s">
        <v>544</v>
      </c>
      <c r="E190" s="66" t="s">
        <v>77</v>
      </c>
      <c r="F190" s="67">
        <f>F191</f>
        <v>533</v>
      </c>
      <c r="G190" s="67">
        <f>G191</f>
        <v>306.68099999999998</v>
      </c>
      <c r="H190" s="67">
        <f>H191</f>
        <v>533</v>
      </c>
      <c r="I190" s="67">
        <f t="shared" si="29"/>
        <v>100</v>
      </c>
    </row>
    <row r="191" spans="1:9" s="119" customFormat="1">
      <c r="A191" s="65" t="s">
        <v>78</v>
      </c>
      <c r="B191" s="66" t="s">
        <v>423</v>
      </c>
      <c r="C191" s="66" t="s">
        <v>446</v>
      </c>
      <c r="D191" s="66" t="s">
        <v>544</v>
      </c>
      <c r="E191" s="66" t="s">
        <v>79</v>
      </c>
      <c r="F191" s="67">
        <f>613-80</f>
        <v>533</v>
      </c>
      <c r="G191" s="67">
        <v>306.68099999999998</v>
      </c>
      <c r="H191" s="67">
        <f>613-80</f>
        <v>533</v>
      </c>
      <c r="I191" s="67">
        <f t="shared" si="29"/>
        <v>100</v>
      </c>
    </row>
    <row r="192" spans="1:9" s="119" customFormat="1">
      <c r="A192" s="65" t="s">
        <v>80</v>
      </c>
      <c r="B192" s="66" t="s">
        <v>423</v>
      </c>
      <c r="C192" s="66" t="s">
        <v>446</v>
      </c>
      <c r="D192" s="66" t="s">
        <v>544</v>
      </c>
      <c r="E192" s="66" t="s">
        <v>81</v>
      </c>
      <c r="F192" s="67">
        <f>F193</f>
        <v>13</v>
      </c>
      <c r="G192" s="279">
        <f>G193</f>
        <v>0</v>
      </c>
      <c r="H192" s="67">
        <f>H193</f>
        <v>13</v>
      </c>
      <c r="I192" s="67">
        <f t="shared" si="29"/>
        <v>100</v>
      </c>
    </row>
    <row r="193" spans="1:9" s="119" customFormat="1">
      <c r="A193" s="65" t="s">
        <v>445</v>
      </c>
      <c r="B193" s="66" t="s">
        <v>423</v>
      </c>
      <c r="C193" s="66" t="s">
        <v>446</v>
      </c>
      <c r="D193" s="66" t="s">
        <v>544</v>
      </c>
      <c r="E193" s="66" t="s">
        <v>82</v>
      </c>
      <c r="F193" s="67">
        <v>13</v>
      </c>
      <c r="G193" s="279">
        <v>0</v>
      </c>
      <c r="H193" s="67">
        <v>13</v>
      </c>
      <c r="I193" s="67">
        <f t="shared" si="29"/>
        <v>100</v>
      </c>
    </row>
    <row r="194" spans="1:9" s="119" customFormat="1">
      <c r="A194" s="58" t="s">
        <v>321</v>
      </c>
      <c r="B194" s="59" t="s">
        <v>71</v>
      </c>
      <c r="C194" s="59" t="s">
        <v>70</v>
      </c>
      <c r="D194" s="59"/>
      <c r="E194" s="59"/>
      <c r="F194" s="60">
        <f>F203+F212+F232+F268+F195</f>
        <v>888900.24112999998</v>
      </c>
      <c r="G194" s="60">
        <f t="shared" ref="G194:H194" si="38">G203+G212+G232+G268+G195</f>
        <v>763644.22022999998</v>
      </c>
      <c r="H194" s="60">
        <f t="shared" si="38"/>
        <v>862492.78986000002</v>
      </c>
      <c r="I194" s="60">
        <f t="shared" si="29"/>
        <v>97.029199673021807</v>
      </c>
    </row>
    <row r="195" spans="1:9" s="119" customFormat="1" ht="12" customHeight="1">
      <c r="A195" s="58" t="s">
        <v>746</v>
      </c>
      <c r="B195" s="59" t="s">
        <v>71</v>
      </c>
      <c r="C195" s="59" t="s">
        <v>69</v>
      </c>
      <c r="D195" s="59"/>
      <c r="E195" s="59"/>
      <c r="F195" s="60">
        <f t="shared" ref="F195:H197" si="39">F196</f>
        <v>592.38499999999999</v>
      </c>
      <c r="G195" s="60">
        <f t="shared" si="39"/>
        <v>418.98304999999999</v>
      </c>
      <c r="H195" s="60">
        <f t="shared" si="39"/>
        <v>592.38499999999999</v>
      </c>
      <c r="I195" s="60">
        <f t="shared" si="29"/>
        <v>100</v>
      </c>
    </row>
    <row r="196" spans="1:9" s="119" customFormat="1">
      <c r="A196" s="70" t="s">
        <v>396</v>
      </c>
      <c r="B196" s="71" t="s">
        <v>71</v>
      </c>
      <c r="C196" s="71" t="s">
        <v>69</v>
      </c>
      <c r="D196" s="71" t="s">
        <v>187</v>
      </c>
      <c r="E196" s="71"/>
      <c r="F196" s="60">
        <f t="shared" si="39"/>
        <v>592.38499999999999</v>
      </c>
      <c r="G196" s="60">
        <f t="shared" si="39"/>
        <v>418.98304999999999</v>
      </c>
      <c r="H196" s="60">
        <f t="shared" si="39"/>
        <v>592.38499999999999</v>
      </c>
      <c r="I196" s="60">
        <f t="shared" si="29"/>
        <v>100</v>
      </c>
    </row>
    <row r="197" spans="1:9" s="119" customFormat="1">
      <c r="A197" s="58" t="s">
        <v>272</v>
      </c>
      <c r="B197" s="59" t="s">
        <v>71</v>
      </c>
      <c r="C197" s="59" t="s">
        <v>69</v>
      </c>
      <c r="D197" s="59" t="s">
        <v>188</v>
      </c>
      <c r="E197" s="59"/>
      <c r="F197" s="60">
        <f t="shared" si="39"/>
        <v>592.38499999999999</v>
      </c>
      <c r="G197" s="60">
        <f t="shared" si="39"/>
        <v>418.98304999999999</v>
      </c>
      <c r="H197" s="60">
        <f t="shared" si="39"/>
        <v>592.38499999999999</v>
      </c>
      <c r="I197" s="60">
        <f t="shared" si="29"/>
        <v>100</v>
      </c>
    </row>
    <row r="198" spans="1:9" s="119" customFormat="1">
      <c r="A198" s="58" t="s">
        <v>747</v>
      </c>
      <c r="B198" s="59" t="s">
        <v>71</v>
      </c>
      <c r="C198" s="59" t="s">
        <v>69</v>
      </c>
      <c r="D198" s="59" t="s">
        <v>748</v>
      </c>
      <c r="E198" s="59"/>
      <c r="F198" s="60">
        <f>F199+F201</f>
        <v>592.38499999999999</v>
      </c>
      <c r="G198" s="60">
        <f>G199+G201</f>
        <v>418.98304999999999</v>
      </c>
      <c r="H198" s="60">
        <f>H199+H201</f>
        <v>592.38499999999999</v>
      </c>
      <c r="I198" s="60">
        <f t="shared" si="29"/>
        <v>100</v>
      </c>
    </row>
    <row r="199" spans="1:9" s="119" customFormat="1" ht="24">
      <c r="A199" s="65" t="s">
        <v>72</v>
      </c>
      <c r="B199" s="66" t="s">
        <v>71</v>
      </c>
      <c r="C199" s="66" t="s">
        <v>69</v>
      </c>
      <c r="D199" s="66" t="s">
        <v>748</v>
      </c>
      <c r="E199" s="66" t="s">
        <v>73</v>
      </c>
      <c r="F199" s="67">
        <f>F200</f>
        <v>506.1223</v>
      </c>
      <c r="G199" s="67">
        <f>G200</f>
        <v>332.72035</v>
      </c>
      <c r="H199" s="67">
        <f>H200</f>
        <v>506.1223</v>
      </c>
      <c r="I199" s="67">
        <f t="shared" si="29"/>
        <v>100</v>
      </c>
    </row>
    <row r="200" spans="1:9" s="119" customFormat="1">
      <c r="A200" s="65" t="s">
        <v>74</v>
      </c>
      <c r="B200" s="66" t="s">
        <v>71</v>
      </c>
      <c r="C200" s="66" t="s">
        <v>69</v>
      </c>
      <c r="D200" s="66" t="s">
        <v>748</v>
      </c>
      <c r="E200" s="66" t="s">
        <v>75</v>
      </c>
      <c r="F200" s="67">
        <f>190.06768+316.05462</f>
        <v>506.1223</v>
      </c>
      <c r="G200" s="67">
        <v>332.72035</v>
      </c>
      <c r="H200" s="67">
        <f>190.06768+316.05462</f>
        <v>506.1223</v>
      </c>
      <c r="I200" s="67">
        <f t="shared" ref="I200:I263" si="40">H200/F200*100</f>
        <v>100</v>
      </c>
    </row>
    <row r="201" spans="1:9" s="119" customFormat="1">
      <c r="A201" s="65" t="s">
        <v>94</v>
      </c>
      <c r="B201" s="66" t="s">
        <v>71</v>
      </c>
      <c r="C201" s="66" t="s">
        <v>69</v>
      </c>
      <c r="D201" s="66" t="s">
        <v>748</v>
      </c>
      <c r="E201" s="66" t="s">
        <v>362</v>
      </c>
      <c r="F201" s="67">
        <f>F202</f>
        <v>86.262700000000009</v>
      </c>
      <c r="G201" s="67">
        <f>G202</f>
        <v>86.262699999999995</v>
      </c>
      <c r="H201" s="67">
        <f>H202</f>
        <v>86.262700000000009</v>
      </c>
      <c r="I201" s="67">
        <f t="shared" si="40"/>
        <v>100</v>
      </c>
    </row>
    <row r="202" spans="1:9" s="119" customFormat="1">
      <c r="A202" s="65" t="s">
        <v>95</v>
      </c>
      <c r="B202" s="66" t="s">
        <v>71</v>
      </c>
      <c r="C202" s="66" t="s">
        <v>69</v>
      </c>
      <c r="D202" s="66" t="s">
        <v>748</v>
      </c>
      <c r="E202" s="66" t="s">
        <v>371</v>
      </c>
      <c r="F202" s="67">
        <f>107.49832-21.23562</f>
        <v>86.262700000000009</v>
      </c>
      <c r="G202" s="67">
        <v>86.262699999999995</v>
      </c>
      <c r="H202" s="67">
        <f>107.49832-21.23562</f>
        <v>86.262700000000009</v>
      </c>
      <c r="I202" s="67">
        <f t="shared" si="40"/>
        <v>100</v>
      </c>
    </row>
    <row r="203" spans="1:9" s="119" customFormat="1">
      <c r="A203" s="58" t="s">
        <v>331</v>
      </c>
      <c r="B203" s="59" t="s">
        <v>71</v>
      </c>
      <c r="C203" s="59" t="s">
        <v>430</v>
      </c>
      <c r="D203" s="59"/>
      <c r="E203" s="59"/>
      <c r="F203" s="60">
        <f t="shared" ref="F203:H204" si="41">F204</f>
        <v>9063.4</v>
      </c>
      <c r="G203" s="60">
        <f t="shared" si="41"/>
        <v>7315.3593899999996</v>
      </c>
      <c r="H203" s="60">
        <f t="shared" si="41"/>
        <v>9063.4</v>
      </c>
      <c r="I203" s="60">
        <f t="shared" si="40"/>
        <v>100</v>
      </c>
    </row>
    <row r="204" spans="1:9" s="119" customFormat="1" ht="13.5">
      <c r="A204" s="69" t="s">
        <v>671</v>
      </c>
      <c r="B204" s="61" t="s">
        <v>71</v>
      </c>
      <c r="C204" s="61" t="s">
        <v>430</v>
      </c>
      <c r="D204" s="93" t="s">
        <v>225</v>
      </c>
      <c r="E204" s="61"/>
      <c r="F204" s="62">
        <f t="shared" si="41"/>
        <v>9063.4</v>
      </c>
      <c r="G204" s="62">
        <f t="shared" si="41"/>
        <v>7315.3593899999996</v>
      </c>
      <c r="H204" s="62">
        <f t="shared" si="41"/>
        <v>9063.4</v>
      </c>
      <c r="I204" s="62">
        <f t="shared" si="40"/>
        <v>100</v>
      </c>
    </row>
    <row r="205" spans="1:9" s="119" customFormat="1">
      <c r="A205" s="58" t="s">
        <v>230</v>
      </c>
      <c r="B205" s="59" t="s">
        <v>71</v>
      </c>
      <c r="C205" s="59" t="s">
        <v>430</v>
      </c>
      <c r="D205" s="59" t="s">
        <v>600</v>
      </c>
      <c r="E205" s="59"/>
      <c r="F205" s="60">
        <f>F206+F208+F210</f>
        <v>9063.4</v>
      </c>
      <c r="G205" s="60">
        <f>G206+G208+G210</f>
        <v>7315.3593899999996</v>
      </c>
      <c r="H205" s="60">
        <f>H206+H208+H210</f>
        <v>9063.4</v>
      </c>
      <c r="I205" s="60">
        <f t="shared" si="40"/>
        <v>100</v>
      </c>
    </row>
    <row r="206" spans="1:9" s="119" customFormat="1" ht="24">
      <c r="A206" s="65" t="s">
        <v>72</v>
      </c>
      <c r="B206" s="66" t="s">
        <v>71</v>
      </c>
      <c r="C206" s="66" t="s">
        <v>430</v>
      </c>
      <c r="D206" s="66" t="s">
        <v>600</v>
      </c>
      <c r="E206" s="66" t="s">
        <v>73</v>
      </c>
      <c r="F206" s="67">
        <f>F207</f>
        <v>7800</v>
      </c>
      <c r="G206" s="67">
        <f>G207</f>
        <v>6612.1322899999996</v>
      </c>
      <c r="H206" s="67">
        <f>H207</f>
        <v>7800</v>
      </c>
      <c r="I206" s="67">
        <f t="shared" si="40"/>
        <v>100</v>
      </c>
    </row>
    <row r="207" spans="1:9" s="119" customFormat="1">
      <c r="A207" s="65" t="s">
        <v>426</v>
      </c>
      <c r="B207" s="66" t="s">
        <v>71</v>
      </c>
      <c r="C207" s="66" t="s">
        <v>430</v>
      </c>
      <c r="D207" s="66" t="s">
        <v>600</v>
      </c>
      <c r="E207" s="66" t="s">
        <v>427</v>
      </c>
      <c r="F207" s="67">
        <v>7800</v>
      </c>
      <c r="G207" s="67">
        <v>6612.1322899999996</v>
      </c>
      <c r="H207" s="67">
        <v>7800</v>
      </c>
      <c r="I207" s="67">
        <f t="shared" si="40"/>
        <v>100</v>
      </c>
    </row>
    <row r="208" spans="1:9" s="119" customFormat="1">
      <c r="A208" s="65" t="s">
        <v>486</v>
      </c>
      <c r="B208" s="66" t="s">
        <v>71</v>
      </c>
      <c r="C208" s="66" t="s">
        <v>430</v>
      </c>
      <c r="D208" s="66" t="s">
        <v>600</v>
      </c>
      <c r="E208" s="66" t="s">
        <v>77</v>
      </c>
      <c r="F208" s="67">
        <f>F209</f>
        <v>1224</v>
      </c>
      <c r="G208" s="67">
        <f>G209</f>
        <v>672.1721</v>
      </c>
      <c r="H208" s="67">
        <f>H209</f>
        <v>1224</v>
      </c>
      <c r="I208" s="67">
        <f t="shared" si="40"/>
        <v>100</v>
      </c>
    </row>
    <row r="209" spans="1:9" s="119" customFormat="1">
      <c r="A209" s="65" t="s">
        <v>78</v>
      </c>
      <c r="B209" s="66" t="s">
        <v>71</v>
      </c>
      <c r="C209" s="66" t="s">
        <v>430</v>
      </c>
      <c r="D209" s="66" t="s">
        <v>600</v>
      </c>
      <c r="E209" s="66" t="s">
        <v>79</v>
      </c>
      <c r="F209" s="67">
        <v>1224</v>
      </c>
      <c r="G209" s="67">
        <v>672.1721</v>
      </c>
      <c r="H209" s="67">
        <v>1224</v>
      </c>
      <c r="I209" s="67">
        <f t="shared" si="40"/>
        <v>100</v>
      </c>
    </row>
    <row r="210" spans="1:9" s="119" customFormat="1">
      <c r="A210" s="65" t="s">
        <v>80</v>
      </c>
      <c r="B210" s="66" t="s">
        <v>71</v>
      </c>
      <c r="C210" s="66" t="s">
        <v>430</v>
      </c>
      <c r="D210" s="66" t="s">
        <v>600</v>
      </c>
      <c r="E210" s="66" t="s">
        <v>81</v>
      </c>
      <c r="F210" s="67">
        <f>F211</f>
        <v>39.4</v>
      </c>
      <c r="G210" s="67">
        <f>G211</f>
        <v>31.055</v>
      </c>
      <c r="H210" s="67">
        <f>H211</f>
        <v>39.4</v>
      </c>
      <c r="I210" s="67">
        <f t="shared" si="40"/>
        <v>100</v>
      </c>
    </row>
    <row r="211" spans="1:9" s="119" customFormat="1">
      <c r="A211" s="65" t="s">
        <v>445</v>
      </c>
      <c r="B211" s="66" t="s">
        <v>71</v>
      </c>
      <c r="C211" s="66" t="s">
        <v>430</v>
      </c>
      <c r="D211" s="66" t="s">
        <v>600</v>
      </c>
      <c r="E211" s="66" t="s">
        <v>82</v>
      </c>
      <c r="F211" s="67">
        <v>39.4</v>
      </c>
      <c r="G211" s="67">
        <v>31.055</v>
      </c>
      <c r="H211" s="67">
        <v>39.4</v>
      </c>
      <c r="I211" s="67">
        <f t="shared" si="40"/>
        <v>100</v>
      </c>
    </row>
    <row r="212" spans="1:9" s="119" customFormat="1">
      <c r="A212" s="58" t="s">
        <v>332</v>
      </c>
      <c r="B212" s="59" t="s">
        <v>71</v>
      </c>
      <c r="C212" s="59" t="s">
        <v>428</v>
      </c>
      <c r="D212" s="59"/>
      <c r="E212" s="59"/>
      <c r="F212" s="60">
        <f>F213+F227</f>
        <v>78918.2</v>
      </c>
      <c r="G212" s="60">
        <f>G213+G227</f>
        <v>68493.094400000002</v>
      </c>
      <c r="H212" s="60">
        <f>H213+H227</f>
        <v>78918.2</v>
      </c>
      <c r="I212" s="60">
        <f t="shared" si="40"/>
        <v>100</v>
      </c>
    </row>
    <row r="213" spans="1:9" s="119" customFormat="1" ht="13.5">
      <c r="A213" s="69" t="s">
        <v>577</v>
      </c>
      <c r="B213" s="61" t="s">
        <v>71</v>
      </c>
      <c r="C213" s="61" t="s">
        <v>428</v>
      </c>
      <c r="D213" s="61" t="s">
        <v>209</v>
      </c>
      <c r="E213" s="61"/>
      <c r="F213" s="62">
        <f>F214+F223</f>
        <v>78740</v>
      </c>
      <c r="G213" s="62">
        <f>G214+G223</f>
        <v>68374.024399999995</v>
      </c>
      <c r="H213" s="62">
        <f>H214+H223</f>
        <v>78740</v>
      </c>
      <c r="I213" s="62">
        <f t="shared" si="40"/>
        <v>100</v>
      </c>
    </row>
    <row r="214" spans="1:9" s="119" customFormat="1">
      <c r="A214" s="70" t="s">
        <v>92</v>
      </c>
      <c r="B214" s="71" t="s">
        <v>71</v>
      </c>
      <c r="C214" s="71" t="s">
        <v>428</v>
      </c>
      <c r="D214" s="71" t="s">
        <v>210</v>
      </c>
      <c r="E214" s="71"/>
      <c r="F214" s="72">
        <f>F215+F218</f>
        <v>5740</v>
      </c>
      <c r="G214" s="72">
        <f>G215+G218</f>
        <v>4088.0243999999998</v>
      </c>
      <c r="H214" s="72">
        <f>H215+H218</f>
        <v>5740</v>
      </c>
      <c r="I214" s="72">
        <f t="shared" si="40"/>
        <v>100</v>
      </c>
    </row>
    <row r="215" spans="1:9" s="119" customFormat="1">
      <c r="A215" s="73" t="s">
        <v>271</v>
      </c>
      <c r="B215" s="59" t="s">
        <v>71</v>
      </c>
      <c r="C215" s="59" t="s">
        <v>428</v>
      </c>
      <c r="D215" s="59" t="s">
        <v>296</v>
      </c>
      <c r="E215" s="59"/>
      <c r="F215" s="60">
        <f t="shared" ref="F215:H216" si="42">F216</f>
        <v>5475</v>
      </c>
      <c r="G215" s="60">
        <f t="shared" si="42"/>
        <v>3903.0782599999998</v>
      </c>
      <c r="H215" s="60">
        <f t="shared" si="42"/>
        <v>5475</v>
      </c>
      <c r="I215" s="60">
        <f t="shared" si="40"/>
        <v>100</v>
      </c>
    </row>
    <row r="216" spans="1:9" s="119" customFormat="1" ht="24">
      <c r="A216" s="65" t="s">
        <v>72</v>
      </c>
      <c r="B216" s="66" t="s">
        <v>71</v>
      </c>
      <c r="C216" s="66" t="s">
        <v>428</v>
      </c>
      <c r="D216" s="66" t="s">
        <v>296</v>
      </c>
      <c r="E216" s="66" t="s">
        <v>73</v>
      </c>
      <c r="F216" s="67">
        <f t="shared" si="42"/>
        <v>5475</v>
      </c>
      <c r="G216" s="67">
        <f t="shared" si="42"/>
        <v>3903.0782599999998</v>
      </c>
      <c r="H216" s="67">
        <f t="shared" si="42"/>
        <v>5475</v>
      </c>
      <c r="I216" s="67">
        <f t="shared" si="40"/>
        <v>100</v>
      </c>
    </row>
    <row r="217" spans="1:9" s="119" customFormat="1">
      <c r="A217" s="65" t="s">
        <v>74</v>
      </c>
      <c r="B217" s="66" t="s">
        <v>71</v>
      </c>
      <c r="C217" s="66" t="s">
        <v>428</v>
      </c>
      <c r="D217" s="66" t="s">
        <v>296</v>
      </c>
      <c r="E217" s="66" t="s">
        <v>75</v>
      </c>
      <c r="F217" s="67">
        <v>5475</v>
      </c>
      <c r="G217" s="67">
        <v>3903.0782599999998</v>
      </c>
      <c r="H217" s="67">
        <v>5475</v>
      </c>
      <c r="I217" s="67">
        <f t="shared" si="40"/>
        <v>100</v>
      </c>
    </row>
    <row r="218" spans="1:9" s="119" customFormat="1">
      <c r="A218" s="58" t="s">
        <v>76</v>
      </c>
      <c r="B218" s="59" t="s">
        <v>71</v>
      </c>
      <c r="C218" s="59" t="s">
        <v>428</v>
      </c>
      <c r="D218" s="59" t="s">
        <v>297</v>
      </c>
      <c r="E218" s="59"/>
      <c r="F218" s="60">
        <f>F219+F221</f>
        <v>265</v>
      </c>
      <c r="G218" s="60">
        <f>G219+G221</f>
        <v>184.94614000000001</v>
      </c>
      <c r="H218" s="60">
        <f>H219+H221</f>
        <v>265</v>
      </c>
      <c r="I218" s="60">
        <f t="shared" si="40"/>
        <v>100</v>
      </c>
    </row>
    <row r="219" spans="1:9" s="119" customFormat="1">
      <c r="A219" s="65" t="s">
        <v>486</v>
      </c>
      <c r="B219" s="66" t="s">
        <v>71</v>
      </c>
      <c r="C219" s="66" t="s">
        <v>428</v>
      </c>
      <c r="D219" s="66" t="s">
        <v>297</v>
      </c>
      <c r="E219" s="66" t="s">
        <v>77</v>
      </c>
      <c r="F219" s="67">
        <f>F220</f>
        <v>255</v>
      </c>
      <c r="G219" s="67">
        <f>G220</f>
        <v>184.94614000000001</v>
      </c>
      <c r="H219" s="67">
        <f>H220</f>
        <v>255</v>
      </c>
      <c r="I219" s="67">
        <f t="shared" si="40"/>
        <v>100</v>
      </c>
    </row>
    <row r="220" spans="1:9" s="119" customFormat="1">
      <c r="A220" s="65" t="s">
        <v>78</v>
      </c>
      <c r="B220" s="66" t="s">
        <v>71</v>
      </c>
      <c r="C220" s="66" t="s">
        <v>428</v>
      </c>
      <c r="D220" s="66" t="s">
        <v>297</v>
      </c>
      <c r="E220" s="66" t="s">
        <v>79</v>
      </c>
      <c r="F220" s="67">
        <v>255</v>
      </c>
      <c r="G220" s="67">
        <v>184.94614000000001</v>
      </c>
      <c r="H220" s="67">
        <v>255</v>
      </c>
      <c r="I220" s="67">
        <f t="shared" si="40"/>
        <v>100</v>
      </c>
    </row>
    <row r="221" spans="1:9" s="119" customFormat="1">
      <c r="A221" s="65" t="s">
        <v>80</v>
      </c>
      <c r="B221" s="66" t="s">
        <v>71</v>
      </c>
      <c r="C221" s="66" t="s">
        <v>428</v>
      </c>
      <c r="D221" s="66" t="s">
        <v>297</v>
      </c>
      <c r="E221" s="66" t="s">
        <v>81</v>
      </c>
      <c r="F221" s="67">
        <f>F222</f>
        <v>10</v>
      </c>
      <c r="G221" s="279">
        <f>G222</f>
        <v>0</v>
      </c>
      <c r="H221" s="67">
        <f>H222</f>
        <v>10</v>
      </c>
      <c r="I221" s="67">
        <f t="shared" si="40"/>
        <v>100</v>
      </c>
    </row>
    <row r="222" spans="1:9" s="119" customFormat="1">
      <c r="A222" s="65" t="s">
        <v>445</v>
      </c>
      <c r="B222" s="66" t="s">
        <v>71</v>
      </c>
      <c r="C222" s="66" t="s">
        <v>428</v>
      </c>
      <c r="D222" s="66" t="s">
        <v>297</v>
      </c>
      <c r="E222" s="66" t="s">
        <v>82</v>
      </c>
      <c r="F222" s="67">
        <v>10</v>
      </c>
      <c r="G222" s="279">
        <v>0</v>
      </c>
      <c r="H222" s="67">
        <v>10</v>
      </c>
      <c r="I222" s="67">
        <f t="shared" si="40"/>
        <v>100</v>
      </c>
    </row>
    <row r="223" spans="1:9" s="119" customFormat="1">
      <c r="A223" s="74" t="s">
        <v>298</v>
      </c>
      <c r="B223" s="71" t="s">
        <v>71</v>
      </c>
      <c r="C223" s="71" t="s">
        <v>428</v>
      </c>
      <c r="D223" s="75" t="s">
        <v>299</v>
      </c>
      <c r="E223" s="71"/>
      <c r="F223" s="72">
        <f t="shared" ref="F223:H225" si="43">F224</f>
        <v>73000</v>
      </c>
      <c r="G223" s="72">
        <f t="shared" si="43"/>
        <v>64286</v>
      </c>
      <c r="H223" s="72">
        <f t="shared" si="43"/>
        <v>73000</v>
      </c>
      <c r="I223" s="72">
        <f t="shared" si="40"/>
        <v>100</v>
      </c>
    </row>
    <row r="224" spans="1:9" s="119" customFormat="1" ht="24">
      <c r="A224" s="74" t="s">
        <v>484</v>
      </c>
      <c r="B224" s="71" t="s">
        <v>71</v>
      </c>
      <c r="C224" s="71" t="s">
        <v>428</v>
      </c>
      <c r="D224" s="75" t="s">
        <v>578</v>
      </c>
      <c r="E224" s="71"/>
      <c r="F224" s="72">
        <f t="shared" si="43"/>
        <v>73000</v>
      </c>
      <c r="G224" s="72">
        <f t="shared" si="43"/>
        <v>64286</v>
      </c>
      <c r="H224" s="72">
        <f t="shared" si="43"/>
        <v>73000</v>
      </c>
      <c r="I224" s="72">
        <f t="shared" si="40"/>
        <v>100</v>
      </c>
    </row>
    <row r="225" spans="1:9" s="119" customFormat="1">
      <c r="A225" s="65" t="s">
        <v>80</v>
      </c>
      <c r="B225" s="66" t="s">
        <v>71</v>
      </c>
      <c r="C225" s="66" t="s">
        <v>428</v>
      </c>
      <c r="D225" s="76" t="s">
        <v>578</v>
      </c>
      <c r="E225" s="66" t="s">
        <v>81</v>
      </c>
      <c r="F225" s="67">
        <f t="shared" si="43"/>
        <v>73000</v>
      </c>
      <c r="G225" s="67">
        <f t="shared" si="43"/>
        <v>64286</v>
      </c>
      <c r="H225" s="67">
        <f t="shared" si="43"/>
        <v>73000</v>
      </c>
      <c r="I225" s="67">
        <f t="shared" si="40"/>
        <v>100</v>
      </c>
    </row>
    <row r="226" spans="1:9" s="119" customFormat="1" ht="24">
      <c r="A226" s="65" t="s">
        <v>485</v>
      </c>
      <c r="B226" s="66" t="s">
        <v>71</v>
      </c>
      <c r="C226" s="66" t="s">
        <v>428</v>
      </c>
      <c r="D226" s="76" t="s">
        <v>578</v>
      </c>
      <c r="E226" s="66" t="s">
        <v>374</v>
      </c>
      <c r="F226" s="67">
        <f>63000+10000</f>
        <v>73000</v>
      </c>
      <c r="G226" s="67">
        <v>64286</v>
      </c>
      <c r="H226" s="67">
        <f>63000+10000</f>
        <v>73000</v>
      </c>
      <c r="I226" s="67">
        <f t="shared" si="40"/>
        <v>100</v>
      </c>
    </row>
    <row r="227" spans="1:9" s="23" customFormat="1">
      <c r="A227" s="173" t="s">
        <v>67</v>
      </c>
      <c r="B227" s="140" t="s">
        <v>71</v>
      </c>
      <c r="C227" s="140" t="s">
        <v>428</v>
      </c>
      <c r="D227" s="140" t="s">
        <v>187</v>
      </c>
      <c r="E227" s="22"/>
      <c r="F227" s="175">
        <f t="shared" ref="F227:H230" si="44">F228</f>
        <v>178.2</v>
      </c>
      <c r="G227" s="175">
        <f t="shared" si="44"/>
        <v>119.07</v>
      </c>
      <c r="H227" s="175">
        <f t="shared" si="44"/>
        <v>178.2</v>
      </c>
      <c r="I227" s="175">
        <f t="shared" si="40"/>
        <v>100</v>
      </c>
    </row>
    <row r="228" spans="1:9" s="23" customFormat="1">
      <c r="A228" s="212" t="s">
        <v>272</v>
      </c>
      <c r="B228" s="132" t="s">
        <v>71</v>
      </c>
      <c r="C228" s="132" t="s">
        <v>428</v>
      </c>
      <c r="D228" s="132" t="s">
        <v>188</v>
      </c>
      <c r="E228" s="22"/>
      <c r="F228" s="158">
        <f t="shared" si="44"/>
        <v>178.2</v>
      </c>
      <c r="G228" s="158">
        <f t="shared" si="44"/>
        <v>119.07</v>
      </c>
      <c r="H228" s="158">
        <f t="shared" si="44"/>
        <v>178.2</v>
      </c>
      <c r="I228" s="158">
        <f t="shared" si="40"/>
        <v>100</v>
      </c>
    </row>
    <row r="229" spans="1:9" s="23" customFormat="1">
      <c r="A229" s="133" t="s">
        <v>774</v>
      </c>
      <c r="B229" s="132" t="s">
        <v>71</v>
      </c>
      <c r="C229" s="132" t="s">
        <v>428</v>
      </c>
      <c r="D229" s="132" t="s">
        <v>769</v>
      </c>
      <c r="E229" s="132"/>
      <c r="F229" s="158">
        <f t="shared" si="44"/>
        <v>178.2</v>
      </c>
      <c r="G229" s="158">
        <f t="shared" si="44"/>
        <v>119.07</v>
      </c>
      <c r="H229" s="158">
        <f t="shared" si="44"/>
        <v>178.2</v>
      </c>
      <c r="I229" s="158">
        <f t="shared" si="40"/>
        <v>100</v>
      </c>
    </row>
    <row r="230" spans="1:9" s="23" customFormat="1" ht="24">
      <c r="A230" s="131" t="s">
        <v>72</v>
      </c>
      <c r="B230" s="22" t="s">
        <v>71</v>
      </c>
      <c r="C230" s="22" t="s">
        <v>428</v>
      </c>
      <c r="D230" s="22" t="s">
        <v>769</v>
      </c>
      <c r="E230" s="22" t="s">
        <v>73</v>
      </c>
      <c r="F230" s="156">
        <f t="shared" si="44"/>
        <v>178.2</v>
      </c>
      <c r="G230" s="156">
        <f t="shared" si="44"/>
        <v>119.07</v>
      </c>
      <c r="H230" s="156">
        <f t="shared" si="44"/>
        <v>178.2</v>
      </c>
      <c r="I230" s="156">
        <f t="shared" si="40"/>
        <v>100</v>
      </c>
    </row>
    <row r="231" spans="1:9" s="23" customFormat="1">
      <c r="A231" s="131" t="s">
        <v>74</v>
      </c>
      <c r="B231" s="22" t="s">
        <v>71</v>
      </c>
      <c r="C231" s="22" t="s">
        <v>428</v>
      </c>
      <c r="D231" s="22" t="s">
        <v>769</v>
      </c>
      <c r="E231" s="22" t="s">
        <v>75</v>
      </c>
      <c r="F231" s="156">
        <v>178.2</v>
      </c>
      <c r="G231" s="156">
        <v>119.07</v>
      </c>
      <c r="H231" s="156">
        <v>178.2</v>
      </c>
      <c r="I231" s="156">
        <f t="shared" si="40"/>
        <v>100</v>
      </c>
    </row>
    <row r="232" spans="1:9" s="119" customFormat="1">
      <c r="A232" s="58" t="s">
        <v>352</v>
      </c>
      <c r="B232" s="59" t="s">
        <v>71</v>
      </c>
      <c r="C232" s="59" t="s">
        <v>424</v>
      </c>
      <c r="D232" s="76"/>
      <c r="E232" s="66"/>
      <c r="F232" s="60">
        <f>F233</f>
        <v>778998.40613000002</v>
      </c>
      <c r="G232" s="60">
        <f>G233</f>
        <v>683864.68838999991</v>
      </c>
      <c r="H232" s="60">
        <f>H233</f>
        <v>758454.05486000003</v>
      </c>
      <c r="I232" s="60">
        <f t="shared" si="40"/>
        <v>97.362722297204357</v>
      </c>
    </row>
    <row r="233" spans="1:9" s="119" customFormat="1" ht="13.5">
      <c r="A233" s="69" t="s">
        <v>577</v>
      </c>
      <c r="B233" s="61" t="s">
        <v>71</v>
      </c>
      <c r="C233" s="61" t="s">
        <v>424</v>
      </c>
      <c r="D233" s="61" t="s">
        <v>209</v>
      </c>
      <c r="E233" s="61"/>
      <c r="F233" s="62">
        <f>F234+F256</f>
        <v>778998.40613000002</v>
      </c>
      <c r="G233" s="62">
        <f>G234+G256</f>
        <v>683864.68838999991</v>
      </c>
      <c r="H233" s="62">
        <f>H234+H256</f>
        <v>758454.05486000003</v>
      </c>
      <c r="I233" s="62">
        <f t="shared" si="40"/>
        <v>97.362722297204357</v>
      </c>
    </row>
    <row r="234" spans="1:9" s="119" customFormat="1" ht="24">
      <c r="A234" s="74" t="s">
        <v>579</v>
      </c>
      <c r="B234" s="71" t="s">
        <v>71</v>
      </c>
      <c r="C234" s="71" t="s">
        <v>424</v>
      </c>
      <c r="D234" s="75" t="s">
        <v>300</v>
      </c>
      <c r="E234" s="71"/>
      <c r="F234" s="72">
        <f>F235+F244+F247+F250+F253+F238+F241</f>
        <v>726544.90613000002</v>
      </c>
      <c r="G234" s="72">
        <f t="shared" ref="G234:H234" si="45">G235+G244+G247+G250+G253+G238+G241</f>
        <v>643638.14088999992</v>
      </c>
      <c r="H234" s="72">
        <f t="shared" si="45"/>
        <v>706000.55486000003</v>
      </c>
      <c r="I234" s="72">
        <f t="shared" si="40"/>
        <v>97.172321889994222</v>
      </c>
    </row>
    <row r="235" spans="1:9" s="119" customFormat="1" ht="24">
      <c r="A235" s="58" t="s">
        <v>212</v>
      </c>
      <c r="B235" s="59" t="s">
        <v>71</v>
      </c>
      <c r="C235" s="59" t="s">
        <v>424</v>
      </c>
      <c r="D235" s="59" t="s">
        <v>580</v>
      </c>
      <c r="E235" s="59"/>
      <c r="F235" s="60">
        <f t="shared" ref="F235:H236" si="46">F236</f>
        <v>22422.814859999999</v>
      </c>
      <c r="G235" s="60">
        <f t="shared" si="46"/>
        <v>5388.6729999999998</v>
      </c>
      <c r="H235" s="60">
        <f t="shared" si="46"/>
        <v>22422.814859999999</v>
      </c>
      <c r="I235" s="60">
        <f t="shared" si="40"/>
        <v>100</v>
      </c>
    </row>
    <row r="236" spans="1:9" s="119" customFormat="1">
      <c r="A236" s="65" t="s">
        <v>486</v>
      </c>
      <c r="B236" s="66" t="s">
        <v>71</v>
      </c>
      <c r="C236" s="66" t="s">
        <v>424</v>
      </c>
      <c r="D236" s="66" t="s">
        <v>580</v>
      </c>
      <c r="E236" s="66" t="s">
        <v>77</v>
      </c>
      <c r="F236" s="67">
        <f t="shared" si="46"/>
        <v>22422.814859999999</v>
      </c>
      <c r="G236" s="67">
        <f t="shared" si="46"/>
        <v>5388.6729999999998</v>
      </c>
      <c r="H236" s="67">
        <f t="shared" si="46"/>
        <v>22422.814859999999</v>
      </c>
      <c r="I236" s="67">
        <f t="shared" si="40"/>
        <v>100</v>
      </c>
    </row>
    <row r="237" spans="1:9" s="119" customFormat="1">
      <c r="A237" s="65" t="s">
        <v>78</v>
      </c>
      <c r="B237" s="66" t="s">
        <v>71</v>
      </c>
      <c r="C237" s="66" t="s">
        <v>424</v>
      </c>
      <c r="D237" s="66" t="s">
        <v>580</v>
      </c>
      <c r="E237" s="66" t="s">
        <v>79</v>
      </c>
      <c r="F237" s="67">
        <f>3474+16000+2948.81486</f>
        <v>22422.814859999999</v>
      </c>
      <c r="G237" s="67">
        <v>5388.6729999999998</v>
      </c>
      <c r="H237" s="67">
        <f>3474+16000+2948.81486</f>
        <v>22422.814859999999</v>
      </c>
      <c r="I237" s="67">
        <f t="shared" si="40"/>
        <v>100</v>
      </c>
    </row>
    <row r="238" spans="1:9" s="119" customFormat="1" ht="36">
      <c r="A238" s="58" t="s">
        <v>749</v>
      </c>
      <c r="B238" s="59" t="s">
        <v>71</v>
      </c>
      <c r="C238" s="59" t="s">
        <v>424</v>
      </c>
      <c r="D238" s="59" t="s">
        <v>726</v>
      </c>
      <c r="E238" s="59"/>
      <c r="F238" s="60">
        <f t="shared" ref="F238:H239" si="47">F239</f>
        <v>47665.94</v>
      </c>
      <c r="G238" s="60">
        <f t="shared" si="47"/>
        <v>2435.61553</v>
      </c>
      <c r="H238" s="60">
        <f t="shared" si="47"/>
        <v>27665.940000000002</v>
      </c>
      <c r="I238" s="60">
        <f t="shared" si="40"/>
        <v>58.041318392126541</v>
      </c>
    </row>
    <row r="239" spans="1:9" s="119" customFormat="1">
      <c r="A239" s="65" t="s">
        <v>486</v>
      </c>
      <c r="B239" s="66" t="s">
        <v>71</v>
      </c>
      <c r="C239" s="66" t="s">
        <v>424</v>
      </c>
      <c r="D239" s="66" t="s">
        <v>726</v>
      </c>
      <c r="E239" s="66" t="s">
        <v>77</v>
      </c>
      <c r="F239" s="67">
        <f t="shared" si="47"/>
        <v>47665.94</v>
      </c>
      <c r="G239" s="67">
        <f t="shared" si="47"/>
        <v>2435.61553</v>
      </c>
      <c r="H239" s="67">
        <f t="shared" si="47"/>
        <v>27665.940000000002</v>
      </c>
      <c r="I239" s="67">
        <f t="shared" si="40"/>
        <v>58.041318392126541</v>
      </c>
    </row>
    <row r="240" spans="1:9" s="119" customFormat="1">
      <c r="A240" s="65" t="s">
        <v>78</v>
      </c>
      <c r="B240" s="66" t="s">
        <v>71</v>
      </c>
      <c r="C240" s="66" t="s">
        <v>424</v>
      </c>
      <c r="D240" s="66" t="s">
        <v>726</v>
      </c>
      <c r="E240" s="66" t="s">
        <v>79</v>
      </c>
      <c r="F240" s="67">
        <f>42130.8+1500+6000-1964.86</f>
        <v>47665.94</v>
      </c>
      <c r="G240" s="67">
        <v>2435.61553</v>
      </c>
      <c r="H240" s="67">
        <f>42130.8+1500+6000-1964.86-20000</f>
        <v>27665.940000000002</v>
      </c>
      <c r="I240" s="67">
        <f t="shared" si="40"/>
        <v>58.041318392126541</v>
      </c>
    </row>
    <row r="241" spans="1:9" s="119" customFormat="1">
      <c r="A241" s="125" t="s">
        <v>795</v>
      </c>
      <c r="B241" s="59" t="s">
        <v>71</v>
      </c>
      <c r="C241" s="59" t="s">
        <v>424</v>
      </c>
      <c r="D241" s="59" t="s">
        <v>794</v>
      </c>
      <c r="E241" s="59"/>
      <c r="F241" s="60">
        <f>F242</f>
        <v>544.35127</v>
      </c>
      <c r="G241" s="314">
        <f t="shared" ref="G241:H242" si="48">G242</f>
        <v>0</v>
      </c>
      <c r="H241" s="314">
        <f t="shared" si="48"/>
        <v>0</v>
      </c>
      <c r="I241" s="60">
        <f t="shared" si="40"/>
        <v>0</v>
      </c>
    </row>
    <row r="242" spans="1:9" s="119" customFormat="1">
      <c r="A242" s="65" t="s">
        <v>486</v>
      </c>
      <c r="B242" s="66" t="s">
        <v>71</v>
      </c>
      <c r="C242" s="66" t="s">
        <v>424</v>
      </c>
      <c r="D242" s="66" t="s">
        <v>794</v>
      </c>
      <c r="E242" s="66" t="s">
        <v>77</v>
      </c>
      <c r="F242" s="67">
        <f>F243</f>
        <v>544.35127</v>
      </c>
      <c r="G242" s="279">
        <f t="shared" si="48"/>
        <v>0</v>
      </c>
      <c r="H242" s="279">
        <f t="shared" si="48"/>
        <v>0</v>
      </c>
      <c r="I242" s="67">
        <f t="shared" si="40"/>
        <v>0</v>
      </c>
    </row>
    <row r="243" spans="1:9" s="119" customFormat="1">
      <c r="A243" s="65" t="s">
        <v>78</v>
      </c>
      <c r="B243" s="66" t="s">
        <v>71</v>
      </c>
      <c r="C243" s="66" t="s">
        <v>424</v>
      </c>
      <c r="D243" s="66" t="s">
        <v>794</v>
      </c>
      <c r="E243" s="66" t="s">
        <v>79</v>
      </c>
      <c r="F243" s="67">
        <f>975-300.64873-130</f>
        <v>544.35127</v>
      </c>
      <c r="G243" s="279">
        <v>0</v>
      </c>
      <c r="H243" s="279">
        <v>0</v>
      </c>
      <c r="I243" s="67">
        <f t="shared" si="40"/>
        <v>0</v>
      </c>
    </row>
    <row r="244" spans="1:9" s="119" customFormat="1" ht="24">
      <c r="A244" s="70" t="s">
        <v>487</v>
      </c>
      <c r="B244" s="71" t="s">
        <v>71</v>
      </c>
      <c r="C244" s="71" t="s">
        <v>424</v>
      </c>
      <c r="D244" s="71" t="s">
        <v>41</v>
      </c>
      <c r="E244" s="71"/>
      <c r="F244" s="72">
        <f t="shared" ref="F244:H245" si="49">F245</f>
        <v>164322.79999999999</v>
      </c>
      <c r="G244" s="72">
        <f t="shared" si="49"/>
        <v>149483.24</v>
      </c>
      <c r="H244" s="72">
        <f t="shared" si="49"/>
        <v>164322.79999999999</v>
      </c>
      <c r="I244" s="72">
        <f t="shared" si="40"/>
        <v>100</v>
      </c>
    </row>
    <row r="245" spans="1:9" s="119" customFormat="1">
      <c r="A245" s="65" t="s">
        <v>486</v>
      </c>
      <c r="B245" s="66" t="s">
        <v>71</v>
      </c>
      <c r="C245" s="66" t="s">
        <v>424</v>
      </c>
      <c r="D245" s="66" t="s">
        <v>41</v>
      </c>
      <c r="E245" s="66" t="s">
        <v>77</v>
      </c>
      <c r="F245" s="67">
        <f t="shared" si="49"/>
        <v>164322.79999999999</v>
      </c>
      <c r="G245" s="67">
        <f t="shared" si="49"/>
        <v>149483.24</v>
      </c>
      <c r="H245" s="67">
        <f t="shared" si="49"/>
        <v>164322.79999999999</v>
      </c>
      <c r="I245" s="67">
        <f t="shared" si="40"/>
        <v>100</v>
      </c>
    </row>
    <row r="246" spans="1:9" s="119" customFormat="1">
      <c r="A246" s="65" t="s">
        <v>78</v>
      </c>
      <c r="B246" s="66" t="s">
        <v>71</v>
      </c>
      <c r="C246" s="66" t="s">
        <v>424</v>
      </c>
      <c r="D246" s="66" t="s">
        <v>41</v>
      </c>
      <c r="E246" s="66" t="s">
        <v>79</v>
      </c>
      <c r="F246" s="67">
        <v>164322.79999999999</v>
      </c>
      <c r="G246" s="67">
        <v>149483.24</v>
      </c>
      <c r="H246" s="67">
        <v>164322.79999999999</v>
      </c>
      <c r="I246" s="67">
        <f t="shared" si="40"/>
        <v>100</v>
      </c>
    </row>
    <row r="247" spans="1:9" s="119" customFormat="1" ht="24">
      <c r="A247" s="70" t="s">
        <v>213</v>
      </c>
      <c r="B247" s="71" t="s">
        <v>71</v>
      </c>
      <c r="C247" s="71" t="s">
        <v>424</v>
      </c>
      <c r="D247" s="71" t="s">
        <v>42</v>
      </c>
      <c r="E247" s="71"/>
      <c r="F247" s="72">
        <f t="shared" ref="F247:H248" si="50">F248</f>
        <v>10623</v>
      </c>
      <c r="G247" s="72">
        <f t="shared" si="50"/>
        <v>9720.9113600000001</v>
      </c>
      <c r="H247" s="72">
        <f t="shared" si="50"/>
        <v>10623</v>
      </c>
      <c r="I247" s="72">
        <f t="shared" si="40"/>
        <v>100</v>
      </c>
    </row>
    <row r="248" spans="1:9" s="119" customFormat="1">
      <c r="A248" s="65" t="s">
        <v>486</v>
      </c>
      <c r="B248" s="66" t="s">
        <v>71</v>
      </c>
      <c r="C248" s="66" t="s">
        <v>424</v>
      </c>
      <c r="D248" s="66" t="s">
        <v>42</v>
      </c>
      <c r="E248" s="66" t="s">
        <v>77</v>
      </c>
      <c r="F248" s="67">
        <f t="shared" si="50"/>
        <v>10623</v>
      </c>
      <c r="G248" s="67">
        <f t="shared" si="50"/>
        <v>9720.9113600000001</v>
      </c>
      <c r="H248" s="67">
        <f t="shared" si="50"/>
        <v>10623</v>
      </c>
      <c r="I248" s="67">
        <f t="shared" si="40"/>
        <v>100</v>
      </c>
    </row>
    <row r="249" spans="1:9" s="119" customFormat="1">
      <c r="A249" s="65" t="s">
        <v>78</v>
      </c>
      <c r="B249" s="66" t="s">
        <v>71</v>
      </c>
      <c r="C249" s="66" t="s">
        <v>424</v>
      </c>
      <c r="D249" s="66" t="s">
        <v>42</v>
      </c>
      <c r="E249" s="66" t="s">
        <v>79</v>
      </c>
      <c r="F249" s="67">
        <v>10623</v>
      </c>
      <c r="G249" s="67">
        <v>9720.9113600000001</v>
      </c>
      <c r="H249" s="67">
        <v>10623</v>
      </c>
      <c r="I249" s="67">
        <f t="shared" si="40"/>
        <v>100</v>
      </c>
    </row>
    <row r="250" spans="1:9" s="119" customFormat="1" ht="36">
      <c r="A250" s="58" t="s">
        <v>506</v>
      </c>
      <c r="B250" s="59" t="s">
        <v>480</v>
      </c>
      <c r="C250" s="59" t="s">
        <v>424</v>
      </c>
      <c r="D250" s="59" t="s">
        <v>481</v>
      </c>
      <c r="E250" s="59"/>
      <c r="F250" s="60">
        <f t="shared" ref="F250:H251" si="51">F251</f>
        <v>400000</v>
      </c>
      <c r="G250" s="60">
        <f t="shared" si="51"/>
        <v>400000</v>
      </c>
      <c r="H250" s="60">
        <f t="shared" si="51"/>
        <v>400000</v>
      </c>
      <c r="I250" s="60">
        <f t="shared" si="40"/>
        <v>100</v>
      </c>
    </row>
    <row r="251" spans="1:9" s="119" customFormat="1">
      <c r="A251" s="65" t="s">
        <v>486</v>
      </c>
      <c r="B251" s="66" t="s">
        <v>71</v>
      </c>
      <c r="C251" s="66" t="s">
        <v>424</v>
      </c>
      <c r="D251" s="66" t="s">
        <v>481</v>
      </c>
      <c r="E251" s="66" t="s">
        <v>77</v>
      </c>
      <c r="F251" s="67">
        <f t="shared" si="51"/>
        <v>400000</v>
      </c>
      <c r="G251" s="67">
        <f t="shared" si="51"/>
        <v>400000</v>
      </c>
      <c r="H251" s="67">
        <f t="shared" si="51"/>
        <v>400000</v>
      </c>
      <c r="I251" s="67">
        <f t="shared" si="40"/>
        <v>100</v>
      </c>
    </row>
    <row r="252" spans="1:9" s="122" customFormat="1">
      <c r="A252" s="65" t="s">
        <v>78</v>
      </c>
      <c r="B252" s="66" t="s">
        <v>71</v>
      </c>
      <c r="C252" s="66" t="s">
        <v>424</v>
      </c>
      <c r="D252" s="66" t="s">
        <v>481</v>
      </c>
      <c r="E252" s="66" t="s">
        <v>79</v>
      </c>
      <c r="F252" s="67">
        <v>400000</v>
      </c>
      <c r="G252" s="67">
        <v>400000</v>
      </c>
      <c r="H252" s="67">
        <v>400000</v>
      </c>
      <c r="I252" s="67">
        <f t="shared" si="40"/>
        <v>100</v>
      </c>
    </row>
    <row r="253" spans="1:9" s="122" customFormat="1" ht="24">
      <c r="A253" s="58" t="s">
        <v>482</v>
      </c>
      <c r="B253" s="59" t="s">
        <v>480</v>
      </c>
      <c r="C253" s="59" t="s">
        <v>424</v>
      </c>
      <c r="D253" s="59" t="s">
        <v>483</v>
      </c>
      <c r="E253" s="59"/>
      <c r="F253" s="60">
        <f t="shared" ref="F253:H254" si="52">F254</f>
        <v>80966</v>
      </c>
      <c r="G253" s="60">
        <f t="shared" si="52"/>
        <v>76609.701000000001</v>
      </c>
      <c r="H253" s="60">
        <f t="shared" si="52"/>
        <v>80966</v>
      </c>
      <c r="I253" s="60">
        <f t="shared" si="40"/>
        <v>100</v>
      </c>
    </row>
    <row r="254" spans="1:9" s="122" customFormat="1">
      <c r="A254" s="65" t="s">
        <v>486</v>
      </c>
      <c r="B254" s="66" t="s">
        <v>71</v>
      </c>
      <c r="C254" s="66" t="s">
        <v>424</v>
      </c>
      <c r="D254" s="66" t="s">
        <v>483</v>
      </c>
      <c r="E254" s="66" t="s">
        <v>77</v>
      </c>
      <c r="F254" s="67">
        <f t="shared" si="52"/>
        <v>80966</v>
      </c>
      <c r="G254" s="67">
        <f t="shared" si="52"/>
        <v>76609.701000000001</v>
      </c>
      <c r="H254" s="67">
        <f t="shared" si="52"/>
        <v>80966</v>
      </c>
      <c r="I254" s="67">
        <f t="shared" si="40"/>
        <v>100</v>
      </c>
    </row>
    <row r="255" spans="1:9" s="122" customFormat="1">
      <c r="A255" s="65" t="s">
        <v>78</v>
      </c>
      <c r="B255" s="66" t="s">
        <v>71</v>
      </c>
      <c r="C255" s="66" t="s">
        <v>424</v>
      </c>
      <c r="D255" s="66" t="s">
        <v>483</v>
      </c>
      <c r="E255" s="66" t="s">
        <v>79</v>
      </c>
      <c r="F255" s="67">
        <v>80966</v>
      </c>
      <c r="G255" s="67">
        <v>76609.701000000001</v>
      </c>
      <c r="H255" s="67">
        <v>80966</v>
      </c>
      <c r="I255" s="67">
        <f t="shared" si="40"/>
        <v>100</v>
      </c>
    </row>
    <row r="256" spans="1:9" s="122" customFormat="1">
      <c r="A256" s="70" t="s">
        <v>397</v>
      </c>
      <c r="B256" s="71" t="s">
        <v>71</v>
      </c>
      <c r="C256" s="71" t="s">
        <v>424</v>
      </c>
      <c r="D256" s="71" t="s">
        <v>295</v>
      </c>
      <c r="E256" s="71"/>
      <c r="F256" s="72">
        <f>F257+F265</f>
        <v>52453.5</v>
      </c>
      <c r="G256" s="72">
        <f>G257+G265</f>
        <v>40226.547500000001</v>
      </c>
      <c r="H256" s="72">
        <f>H257+H265</f>
        <v>52453.5</v>
      </c>
      <c r="I256" s="72">
        <f t="shared" si="40"/>
        <v>100</v>
      </c>
    </row>
    <row r="257" spans="1:9" s="122" customFormat="1">
      <c r="A257" s="103" t="s">
        <v>301</v>
      </c>
      <c r="B257" s="83" t="s">
        <v>71</v>
      </c>
      <c r="C257" s="83" t="s">
        <v>424</v>
      </c>
      <c r="D257" s="104" t="s">
        <v>581</v>
      </c>
      <c r="E257" s="83"/>
      <c r="F257" s="88">
        <f>F258</f>
        <v>4615</v>
      </c>
      <c r="G257" s="88">
        <f>G258</f>
        <v>3362.8172400000003</v>
      </c>
      <c r="H257" s="88">
        <f>H258</f>
        <v>4615</v>
      </c>
      <c r="I257" s="88">
        <f t="shared" si="40"/>
        <v>100</v>
      </c>
    </row>
    <row r="258" spans="1:9" s="122" customFormat="1">
      <c r="A258" s="58" t="s">
        <v>425</v>
      </c>
      <c r="B258" s="59" t="s">
        <v>71</v>
      </c>
      <c r="C258" s="59" t="s">
        <v>424</v>
      </c>
      <c r="D258" s="59" t="s">
        <v>581</v>
      </c>
      <c r="E258" s="59"/>
      <c r="F258" s="60">
        <f>F259+F261+F263</f>
        <v>4615</v>
      </c>
      <c r="G258" s="60">
        <f>G259+G261+G263</f>
        <v>3362.8172400000003</v>
      </c>
      <c r="H258" s="60">
        <f>H259+H261+H263</f>
        <v>4615</v>
      </c>
      <c r="I258" s="60">
        <f t="shared" si="40"/>
        <v>100</v>
      </c>
    </row>
    <row r="259" spans="1:9" s="122" customFormat="1" ht="24">
      <c r="A259" s="65" t="s">
        <v>72</v>
      </c>
      <c r="B259" s="66" t="s">
        <v>71</v>
      </c>
      <c r="C259" s="66" t="s">
        <v>424</v>
      </c>
      <c r="D259" s="66" t="s">
        <v>581</v>
      </c>
      <c r="E259" s="66" t="s">
        <v>73</v>
      </c>
      <c r="F259" s="67">
        <f>F260</f>
        <v>4020</v>
      </c>
      <c r="G259" s="67">
        <f>G260</f>
        <v>2894.6932400000001</v>
      </c>
      <c r="H259" s="67">
        <f>H260</f>
        <v>4020</v>
      </c>
      <c r="I259" s="67">
        <f t="shared" si="40"/>
        <v>100</v>
      </c>
    </row>
    <row r="260" spans="1:9" s="122" customFormat="1">
      <c r="A260" s="65" t="s">
        <v>426</v>
      </c>
      <c r="B260" s="66" t="s">
        <v>71</v>
      </c>
      <c r="C260" s="66" t="s">
        <v>424</v>
      </c>
      <c r="D260" s="66" t="s">
        <v>581</v>
      </c>
      <c r="E260" s="66" t="s">
        <v>427</v>
      </c>
      <c r="F260" s="67">
        <f>3090+930</f>
        <v>4020</v>
      </c>
      <c r="G260" s="67">
        <v>2894.6932400000001</v>
      </c>
      <c r="H260" s="67">
        <f>3090+930</f>
        <v>4020</v>
      </c>
      <c r="I260" s="67">
        <f t="shared" si="40"/>
        <v>100</v>
      </c>
    </row>
    <row r="261" spans="1:9" s="122" customFormat="1">
      <c r="A261" s="65" t="s">
        <v>486</v>
      </c>
      <c r="B261" s="66" t="s">
        <v>71</v>
      </c>
      <c r="C261" s="66" t="s">
        <v>424</v>
      </c>
      <c r="D261" s="66" t="s">
        <v>581</v>
      </c>
      <c r="E261" s="66" t="s">
        <v>77</v>
      </c>
      <c r="F261" s="67">
        <f>F262</f>
        <v>400</v>
      </c>
      <c r="G261" s="67">
        <f>G262</f>
        <v>302.10500000000002</v>
      </c>
      <c r="H261" s="67">
        <f>H262</f>
        <v>400</v>
      </c>
      <c r="I261" s="67">
        <f t="shared" si="40"/>
        <v>100</v>
      </c>
    </row>
    <row r="262" spans="1:9" s="122" customFormat="1">
      <c r="A262" s="65" t="s">
        <v>78</v>
      </c>
      <c r="B262" s="66" t="s">
        <v>71</v>
      </c>
      <c r="C262" s="66" t="s">
        <v>424</v>
      </c>
      <c r="D262" s="66" t="s">
        <v>581</v>
      </c>
      <c r="E262" s="66" t="s">
        <v>79</v>
      </c>
      <c r="F262" s="67">
        <f>63+107+100+130</f>
        <v>400</v>
      </c>
      <c r="G262" s="67">
        <v>302.10500000000002</v>
      </c>
      <c r="H262" s="67">
        <f>63+107+100+130</f>
        <v>400</v>
      </c>
      <c r="I262" s="67">
        <f t="shared" si="40"/>
        <v>100</v>
      </c>
    </row>
    <row r="263" spans="1:9" s="122" customFormat="1">
      <c r="A263" s="65" t="s">
        <v>80</v>
      </c>
      <c r="B263" s="66" t="s">
        <v>71</v>
      </c>
      <c r="C263" s="66" t="s">
        <v>424</v>
      </c>
      <c r="D263" s="66" t="s">
        <v>581</v>
      </c>
      <c r="E263" s="66" t="s">
        <v>81</v>
      </c>
      <c r="F263" s="67">
        <f>F264</f>
        <v>195</v>
      </c>
      <c r="G263" s="67">
        <f>G264</f>
        <v>166.01900000000001</v>
      </c>
      <c r="H263" s="67">
        <f>H264</f>
        <v>195</v>
      </c>
      <c r="I263" s="67">
        <f t="shared" si="40"/>
        <v>100</v>
      </c>
    </row>
    <row r="264" spans="1:9" s="122" customFormat="1">
      <c r="A264" s="65" t="s">
        <v>445</v>
      </c>
      <c r="B264" s="66" t="s">
        <v>71</v>
      </c>
      <c r="C264" s="66" t="s">
        <v>424</v>
      </c>
      <c r="D264" s="66" t="s">
        <v>581</v>
      </c>
      <c r="E264" s="66" t="s">
        <v>82</v>
      </c>
      <c r="F264" s="67">
        <v>195</v>
      </c>
      <c r="G264" s="67">
        <v>166.01900000000001</v>
      </c>
      <c r="H264" s="67">
        <v>195</v>
      </c>
      <c r="I264" s="67">
        <f t="shared" ref="I264:I327" si="53">H264/F264*100</f>
        <v>100</v>
      </c>
    </row>
    <row r="265" spans="1:9" s="122" customFormat="1">
      <c r="A265" s="74" t="s">
        <v>302</v>
      </c>
      <c r="B265" s="71" t="s">
        <v>71</v>
      </c>
      <c r="C265" s="71" t="s">
        <v>424</v>
      </c>
      <c r="D265" s="75" t="s">
        <v>582</v>
      </c>
      <c r="E265" s="71"/>
      <c r="F265" s="72">
        <f t="shared" ref="F265:H266" si="54">F266</f>
        <v>47838.5</v>
      </c>
      <c r="G265" s="72">
        <f t="shared" si="54"/>
        <v>36863.730259999997</v>
      </c>
      <c r="H265" s="72">
        <f t="shared" si="54"/>
        <v>47838.5</v>
      </c>
      <c r="I265" s="72">
        <f t="shared" si="53"/>
        <v>100</v>
      </c>
    </row>
    <row r="266" spans="1:9" s="119" customFormat="1">
      <c r="A266" s="65" t="s">
        <v>94</v>
      </c>
      <c r="B266" s="66" t="s">
        <v>71</v>
      </c>
      <c r="C266" s="66" t="s">
        <v>424</v>
      </c>
      <c r="D266" s="66" t="s">
        <v>582</v>
      </c>
      <c r="E266" s="66" t="s">
        <v>362</v>
      </c>
      <c r="F266" s="67">
        <f t="shared" si="54"/>
        <v>47838.5</v>
      </c>
      <c r="G266" s="67">
        <f t="shared" si="54"/>
        <v>36863.730259999997</v>
      </c>
      <c r="H266" s="67">
        <f t="shared" si="54"/>
        <v>47838.5</v>
      </c>
      <c r="I266" s="67">
        <f t="shared" si="53"/>
        <v>100</v>
      </c>
    </row>
    <row r="267" spans="1:9" s="119" customFormat="1">
      <c r="A267" s="65" t="s">
        <v>95</v>
      </c>
      <c r="B267" s="66" t="s">
        <v>71</v>
      </c>
      <c r="C267" s="66" t="s">
        <v>424</v>
      </c>
      <c r="D267" s="66" t="s">
        <v>582</v>
      </c>
      <c r="E267" s="66" t="s">
        <v>371</v>
      </c>
      <c r="F267" s="67">
        <f>44838.5+3000</f>
        <v>47838.5</v>
      </c>
      <c r="G267" s="67">
        <v>36863.730259999997</v>
      </c>
      <c r="H267" s="67">
        <f>44838.5+3000</f>
        <v>47838.5</v>
      </c>
      <c r="I267" s="67">
        <f t="shared" si="53"/>
        <v>100</v>
      </c>
    </row>
    <row r="268" spans="1:9" s="119" customFormat="1">
      <c r="A268" s="58" t="s">
        <v>359</v>
      </c>
      <c r="B268" s="59" t="s">
        <v>71</v>
      </c>
      <c r="C268" s="59" t="s">
        <v>429</v>
      </c>
      <c r="D268" s="76"/>
      <c r="E268" s="66"/>
      <c r="F268" s="60">
        <f>F269+F297+F302+F309</f>
        <v>21327.85</v>
      </c>
      <c r="G268" s="60">
        <f>G269+G297+G302+G309</f>
        <v>3552.0950000000003</v>
      </c>
      <c r="H268" s="60">
        <f>H269+H297+H302+H309</f>
        <v>15464.75</v>
      </c>
      <c r="I268" s="60">
        <f t="shared" si="53"/>
        <v>72.509652871714692</v>
      </c>
    </row>
    <row r="269" spans="1:9" s="119" customFormat="1" ht="27">
      <c r="A269" s="92" t="s">
        <v>672</v>
      </c>
      <c r="B269" s="61" t="s">
        <v>71</v>
      </c>
      <c r="C269" s="61" t="s">
        <v>429</v>
      </c>
      <c r="D269" s="61" t="s">
        <v>192</v>
      </c>
      <c r="E269" s="61"/>
      <c r="F269" s="96">
        <f>F270+F273+F276+F279+F282+F285+F288+F291+F294</f>
        <v>5000</v>
      </c>
      <c r="G269" s="96">
        <f>G270+G273+G276+G279+G282+G285+G288+G291+G294</f>
        <v>409</v>
      </c>
      <c r="H269" s="96">
        <f>H270+H273+H276+H279+H282+H285+H288+H291+H294</f>
        <v>409</v>
      </c>
      <c r="I269" s="96">
        <f t="shared" si="53"/>
        <v>8.18</v>
      </c>
    </row>
    <row r="270" spans="1:9" s="119" customFormat="1" ht="12" customHeight="1">
      <c r="A270" s="97" t="s">
        <v>545</v>
      </c>
      <c r="B270" s="59" t="s">
        <v>71</v>
      </c>
      <c r="C270" s="59" t="s">
        <v>429</v>
      </c>
      <c r="D270" s="59" t="s">
        <v>546</v>
      </c>
      <c r="E270" s="59"/>
      <c r="F270" s="98">
        <f t="shared" ref="F270:H271" si="55">F271</f>
        <v>1500</v>
      </c>
      <c r="G270" s="98">
        <f t="shared" si="55"/>
        <v>0</v>
      </c>
      <c r="H270" s="98">
        <f t="shared" si="55"/>
        <v>0</v>
      </c>
      <c r="I270" s="98">
        <f t="shared" si="53"/>
        <v>0</v>
      </c>
    </row>
    <row r="271" spans="1:9" s="119" customFormat="1">
      <c r="A271" s="65" t="s">
        <v>80</v>
      </c>
      <c r="B271" s="66" t="s">
        <v>71</v>
      </c>
      <c r="C271" s="66" t="s">
        <v>429</v>
      </c>
      <c r="D271" s="66" t="s">
        <v>546</v>
      </c>
      <c r="E271" s="66" t="s">
        <v>81</v>
      </c>
      <c r="F271" s="99">
        <f t="shared" si="55"/>
        <v>1500</v>
      </c>
      <c r="G271" s="99">
        <f t="shared" si="55"/>
        <v>0</v>
      </c>
      <c r="H271" s="99">
        <f t="shared" si="55"/>
        <v>0</v>
      </c>
      <c r="I271" s="99">
        <f t="shared" si="53"/>
        <v>0</v>
      </c>
    </row>
    <row r="272" spans="1:9" s="119" customFormat="1" ht="24">
      <c r="A272" s="65" t="s">
        <v>485</v>
      </c>
      <c r="B272" s="66" t="s">
        <v>71</v>
      </c>
      <c r="C272" s="66" t="s">
        <v>429</v>
      </c>
      <c r="D272" s="66" t="s">
        <v>546</v>
      </c>
      <c r="E272" s="66" t="s">
        <v>374</v>
      </c>
      <c r="F272" s="99">
        <v>1500</v>
      </c>
      <c r="G272" s="99">
        <v>0</v>
      </c>
      <c r="H272" s="99">
        <v>0</v>
      </c>
      <c r="I272" s="99">
        <f t="shared" si="53"/>
        <v>0</v>
      </c>
    </row>
    <row r="273" spans="1:9" s="119" customFormat="1" ht="24">
      <c r="A273" s="97" t="s">
        <v>547</v>
      </c>
      <c r="B273" s="59" t="s">
        <v>71</v>
      </c>
      <c r="C273" s="59" t="s">
        <v>429</v>
      </c>
      <c r="D273" s="59" t="s">
        <v>548</v>
      </c>
      <c r="E273" s="59"/>
      <c r="F273" s="98">
        <f t="shared" ref="F273:H274" si="56">F274</f>
        <v>500</v>
      </c>
      <c r="G273" s="98">
        <f t="shared" si="56"/>
        <v>0</v>
      </c>
      <c r="H273" s="98">
        <f t="shared" si="56"/>
        <v>0</v>
      </c>
      <c r="I273" s="98">
        <f t="shared" si="53"/>
        <v>0</v>
      </c>
    </row>
    <row r="274" spans="1:9" s="119" customFormat="1">
      <c r="A274" s="65" t="s">
        <v>486</v>
      </c>
      <c r="B274" s="66" t="s">
        <v>71</v>
      </c>
      <c r="C274" s="66" t="s">
        <v>429</v>
      </c>
      <c r="D274" s="66" t="s">
        <v>548</v>
      </c>
      <c r="E274" s="66" t="s">
        <v>77</v>
      </c>
      <c r="F274" s="99">
        <f t="shared" si="56"/>
        <v>500</v>
      </c>
      <c r="G274" s="99">
        <f t="shared" si="56"/>
        <v>0</v>
      </c>
      <c r="H274" s="99">
        <f t="shared" si="56"/>
        <v>0</v>
      </c>
      <c r="I274" s="99">
        <f t="shared" si="53"/>
        <v>0</v>
      </c>
    </row>
    <row r="275" spans="1:9" s="119" customFormat="1">
      <c r="A275" s="65" t="s">
        <v>78</v>
      </c>
      <c r="B275" s="66" t="s">
        <v>71</v>
      </c>
      <c r="C275" s="66" t="s">
        <v>429</v>
      </c>
      <c r="D275" s="66" t="s">
        <v>548</v>
      </c>
      <c r="E275" s="66" t="s">
        <v>79</v>
      </c>
      <c r="F275" s="99">
        <v>500</v>
      </c>
      <c r="G275" s="99">
        <v>0</v>
      </c>
      <c r="H275" s="99">
        <v>0</v>
      </c>
      <c r="I275" s="99">
        <f t="shared" si="53"/>
        <v>0</v>
      </c>
    </row>
    <row r="276" spans="1:9" s="119" customFormat="1" ht="36">
      <c r="A276" s="58" t="s">
        <v>549</v>
      </c>
      <c r="B276" s="59" t="s">
        <v>71</v>
      </c>
      <c r="C276" s="59" t="s">
        <v>429</v>
      </c>
      <c r="D276" s="59" t="s">
        <v>550</v>
      </c>
      <c r="E276" s="59"/>
      <c r="F276" s="98">
        <f t="shared" ref="F276:H277" si="57">F277</f>
        <v>300</v>
      </c>
      <c r="G276" s="98">
        <f t="shared" si="57"/>
        <v>300</v>
      </c>
      <c r="H276" s="98">
        <f t="shared" si="57"/>
        <v>300</v>
      </c>
      <c r="I276" s="98">
        <f t="shared" si="53"/>
        <v>100</v>
      </c>
    </row>
    <row r="277" spans="1:9" s="119" customFormat="1">
      <c r="A277" s="65" t="s">
        <v>486</v>
      </c>
      <c r="B277" s="66" t="s">
        <v>71</v>
      </c>
      <c r="C277" s="66" t="s">
        <v>429</v>
      </c>
      <c r="D277" s="66" t="s">
        <v>550</v>
      </c>
      <c r="E277" s="66" t="s">
        <v>77</v>
      </c>
      <c r="F277" s="99">
        <f t="shared" si="57"/>
        <v>300</v>
      </c>
      <c r="G277" s="99">
        <f t="shared" si="57"/>
        <v>300</v>
      </c>
      <c r="H277" s="99">
        <f t="shared" si="57"/>
        <v>300</v>
      </c>
      <c r="I277" s="99">
        <f t="shared" si="53"/>
        <v>100</v>
      </c>
    </row>
    <row r="278" spans="1:9" s="119" customFormat="1">
      <c r="A278" s="65" t="s">
        <v>78</v>
      </c>
      <c r="B278" s="66" t="s">
        <v>71</v>
      </c>
      <c r="C278" s="66" t="s">
        <v>429</v>
      </c>
      <c r="D278" s="66" t="s">
        <v>550</v>
      </c>
      <c r="E278" s="66" t="s">
        <v>79</v>
      </c>
      <c r="F278" s="99">
        <v>300</v>
      </c>
      <c r="G278" s="99">
        <v>300</v>
      </c>
      <c r="H278" s="99">
        <v>300</v>
      </c>
      <c r="I278" s="99">
        <f t="shared" si="53"/>
        <v>100</v>
      </c>
    </row>
    <row r="279" spans="1:9" s="119" customFormat="1" ht="36">
      <c r="A279" s="58" t="s">
        <v>551</v>
      </c>
      <c r="B279" s="59" t="s">
        <v>71</v>
      </c>
      <c r="C279" s="59" t="s">
        <v>429</v>
      </c>
      <c r="D279" s="59" t="s">
        <v>552</v>
      </c>
      <c r="E279" s="59"/>
      <c r="F279" s="98">
        <f t="shared" ref="F279:H280" si="58">F280</f>
        <v>300</v>
      </c>
      <c r="G279" s="98">
        <f t="shared" si="58"/>
        <v>0</v>
      </c>
      <c r="H279" s="98">
        <f t="shared" si="58"/>
        <v>0</v>
      </c>
      <c r="I279" s="98">
        <f t="shared" si="53"/>
        <v>0</v>
      </c>
    </row>
    <row r="280" spans="1:9" s="119" customFormat="1">
      <c r="A280" s="65" t="s">
        <v>486</v>
      </c>
      <c r="B280" s="66" t="s">
        <v>71</v>
      </c>
      <c r="C280" s="66" t="s">
        <v>429</v>
      </c>
      <c r="D280" s="66" t="s">
        <v>552</v>
      </c>
      <c r="E280" s="66" t="s">
        <v>77</v>
      </c>
      <c r="F280" s="99">
        <f t="shared" si="58"/>
        <v>300</v>
      </c>
      <c r="G280" s="99">
        <f t="shared" si="58"/>
        <v>0</v>
      </c>
      <c r="H280" s="99">
        <f t="shared" si="58"/>
        <v>0</v>
      </c>
      <c r="I280" s="99">
        <f t="shared" si="53"/>
        <v>0</v>
      </c>
    </row>
    <row r="281" spans="1:9" s="119" customFormat="1">
      <c r="A281" s="65" t="s">
        <v>78</v>
      </c>
      <c r="B281" s="66" t="s">
        <v>71</v>
      </c>
      <c r="C281" s="66" t="s">
        <v>429</v>
      </c>
      <c r="D281" s="66" t="s">
        <v>552</v>
      </c>
      <c r="E281" s="66" t="s">
        <v>79</v>
      </c>
      <c r="F281" s="99">
        <v>300</v>
      </c>
      <c r="G281" s="99">
        <v>0</v>
      </c>
      <c r="H281" s="99">
        <v>0</v>
      </c>
      <c r="I281" s="99">
        <f t="shared" si="53"/>
        <v>0</v>
      </c>
    </row>
    <row r="282" spans="1:9" s="119" customFormat="1" ht="24">
      <c r="A282" s="58" t="s">
        <v>474</v>
      </c>
      <c r="B282" s="59" t="s">
        <v>71</v>
      </c>
      <c r="C282" s="59" t="s">
        <v>429</v>
      </c>
      <c r="D282" s="59" t="s">
        <v>555</v>
      </c>
      <c r="E282" s="59"/>
      <c r="F282" s="98">
        <f t="shared" ref="F282:H283" si="59">F283</f>
        <v>500</v>
      </c>
      <c r="G282" s="98">
        <f t="shared" si="59"/>
        <v>109</v>
      </c>
      <c r="H282" s="98">
        <f t="shared" si="59"/>
        <v>109</v>
      </c>
      <c r="I282" s="98">
        <f t="shared" si="53"/>
        <v>21.8</v>
      </c>
    </row>
    <row r="283" spans="1:9" s="119" customFormat="1">
      <c r="A283" s="65" t="s">
        <v>486</v>
      </c>
      <c r="B283" s="66" t="s">
        <v>71</v>
      </c>
      <c r="C283" s="66" t="s">
        <v>429</v>
      </c>
      <c r="D283" s="66" t="s">
        <v>555</v>
      </c>
      <c r="E283" s="66" t="s">
        <v>77</v>
      </c>
      <c r="F283" s="99">
        <f t="shared" si="59"/>
        <v>500</v>
      </c>
      <c r="G283" s="99">
        <f t="shared" si="59"/>
        <v>109</v>
      </c>
      <c r="H283" s="99">
        <f t="shared" si="59"/>
        <v>109</v>
      </c>
      <c r="I283" s="99">
        <f t="shared" si="53"/>
        <v>21.8</v>
      </c>
    </row>
    <row r="284" spans="1:9" s="119" customFormat="1">
      <c r="A284" s="65" t="s">
        <v>78</v>
      </c>
      <c r="B284" s="66" t="s">
        <v>71</v>
      </c>
      <c r="C284" s="66" t="s">
        <v>429</v>
      </c>
      <c r="D284" s="66" t="s">
        <v>555</v>
      </c>
      <c r="E284" s="66" t="s">
        <v>79</v>
      </c>
      <c r="F284" s="99">
        <v>500</v>
      </c>
      <c r="G284" s="99">
        <v>109</v>
      </c>
      <c r="H284" s="99">
        <v>109</v>
      </c>
      <c r="I284" s="99">
        <f t="shared" si="53"/>
        <v>21.8</v>
      </c>
    </row>
    <row r="285" spans="1:9" s="119" customFormat="1" ht="24">
      <c r="A285" s="58" t="s">
        <v>711</v>
      </c>
      <c r="B285" s="59" t="s">
        <v>71</v>
      </c>
      <c r="C285" s="59" t="s">
        <v>429</v>
      </c>
      <c r="D285" s="59" t="s">
        <v>556</v>
      </c>
      <c r="E285" s="59"/>
      <c r="F285" s="98">
        <f t="shared" ref="F285:H286" si="60">F286</f>
        <v>600</v>
      </c>
      <c r="G285" s="98">
        <f t="shared" si="60"/>
        <v>0</v>
      </c>
      <c r="H285" s="98">
        <f t="shared" si="60"/>
        <v>0</v>
      </c>
      <c r="I285" s="98">
        <f t="shared" si="53"/>
        <v>0</v>
      </c>
    </row>
    <row r="286" spans="1:9" s="119" customFormat="1">
      <c r="A286" s="65" t="s">
        <v>80</v>
      </c>
      <c r="B286" s="66" t="s">
        <v>71</v>
      </c>
      <c r="C286" s="66" t="s">
        <v>429</v>
      </c>
      <c r="D286" s="66" t="s">
        <v>556</v>
      </c>
      <c r="E286" s="66" t="s">
        <v>81</v>
      </c>
      <c r="F286" s="99">
        <f t="shared" si="60"/>
        <v>600</v>
      </c>
      <c r="G286" s="99">
        <f t="shared" si="60"/>
        <v>0</v>
      </c>
      <c r="H286" s="99">
        <f t="shared" si="60"/>
        <v>0</v>
      </c>
      <c r="I286" s="99">
        <f t="shared" si="53"/>
        <v>0</v>
      </c>
    </row>
    <row r="287" spans="1:9" s="119" customFormat="1" ht="24">
      <c r="A287" s="65" t="s">
        <v>485</v>
      </c>
      <c r="B287" s="66" t="s">
        <v>71</v>
      </c>
      <c r="C287" s="66" t="s">
        <v>429</v>
      </c>
      <c r="D287" s="66" t="s">
        <v>556</v>
      </c>
      <c r="E287" s="66" t="s">
        <v>374</v>
      </c>
      <c r="F287" s="99">
        <v>600</v>
      </c>
      <c r="G287" s="99">
        <v>0</v>
      </c>
      <c r="H287" s="99">
        <v>0</v>
      </c>
      <c r="I287" s="99">
        <f t="shared" si="53"/>
        <v>0</v>
      </c>
    </row>
    <row r="288" spans="1:9" s="119" customFormat="1" ht="36">
      <c r="A288" s="58" t="s">
        <v>553</v>
      </c>
      <c r="B288" s="59" t="s">
        <v>71</v>
      </c>
      <c r="C288" s="59" t="s">
        <v>429</v>
      </c>
      <c r="D288" s="59" t="s">
        <v>554</v>
      </c>
      <c r="E288" s="59"/>
      <c r="F288" s="98">
        <f t="shared" ref="F288:H289" si="61">F289</f>
        <v>500</v>
      </c>
      <c r="G288" s="98">
        <f t="shared" si="61"/>
        <v>0</v>
      </c>
      <c r="H288" s="98">
        <f t="shared" si="61"/>
        <v>0</v>
      </c>
      <c r="I288" s="98">
        <f t="shared" si="53"/>
        <v>0</v>
      </c>
    </row>
    <row r="289" spans="1:9" s="119" customFormat="1">
      <c r="A289" s="65" t="s">
        <v>486</v>
      </c>
      <c r="B289" s="66" t="s">
        <v>71</v>
      </c>
      <c r="C289" s="66" t="s">
        <v>429</v>
      </c>
      <c r="D289" s="66" t="s">
        <v>554</v>
      </c>
      <c r="E289" s="66" t="s">
        <v>77</v>
      </c>
      <c r="F289" s="99">
        <f t="shared" si="61"/>
        <v>500</v>
      </c>
      <c r="G289" s="99">
        <f t="shared" si="61"/>
        <v>0</v>
      </c>
      <c r="H289" s="99">
        <f t="shared" si="61"/>
        <v>0</v>
      </c>
      <c r="I289" s="99">
        <f t="shared" si="53"/>
        <v>0</v>
      </c>
    </row>
    <row r="290" spans="1:9" s="119" customFormat="1">
      <c r="A290" s="65" t="s">
        <v>78</v>
      </c>
      <c r="B290" s="66" t="s">
        <v>71</v>
      </c>
      <c r="C290" s="66" t="s">
        <v>429</v>
      </c>
      <c r="D290" s="66" t="s">
        <v>554</v>
      </c>
      <c r="E290" s="66" t="s">
        <v>79</v>
      </c>
      <c r="F290" s="99">
        <v>500</v>
      </c>
      <c r="G290" s="99">
        <v>0</v>
      </c>
      <c r="H290" s="99">
        <v>0</v>
      </c>
      <c r="I290" s="99">
        <f t="shared" si="53"/>
        <v>0</v>
      </c>
    </row>
    <row r="291" spans="1:9" s="119" customFormat="1" ht="24">
      <c r="A291" s="58" t="s">
        <v>558</v>
      </c>
      <c r="B291" s="59" t="s">
        <v>71</v>
      </c>
      <c r="C291" s="59" t="s">
        <v>429</v>
      </c>
      <c r="D291" s="59" t="s">
        <v>559</v>
      </c>
      <c r="E291" s="59"/>
      <c r="F291" s="98">
        <f t="shared" ref="F291:H292" si="62">F292</f>
        <v>500</v>
      </c>
      <c r="G291" s="98">
        <f t="shared" si="62"/>
        <v>0</v>
      </c>
      <c r="H291" s="98">
        <f t="shared" si="62"/>
        <v>0</v>
      </c>
      <c r="I291" s="98">
        <f t="shared" si="53"/>
        <v>0</v>
      </c>
    </row>
    <row r="292" spans="1:9" s="119" customFormat="1">
      <c r="A292" s="65" t="s">
        <v>486</v>
      </c>
      <c r="B292" s="66" t="s">
        <v>71</v>
      </c>
      <c r="C292" s="66" t="s">
        <v>429</v>
      </c>
      <c r="D292" s="66" t="s">
        <v>559</v>
      </c>
      <c r="E292" s="66" t="s">
        <v>77</v>
      </c>
      <c r="F292" s="99">
        <f t="shared" si="62"/>
        <v>500</v>
      </c>
      <c r="G292" s="99">
        <f t="shared" si="62"/>
        <v>0</v>
      </c>
      <c r="H292" s="99">
        <f t="shared" si="62"/>
        <v>0</v>
      </c>
      <c r="I292" s="99">
        <f t="shared" si="53"/>
        <v>0</v>
      </c>
    </row>
    <row r="293" spans="1:9" s="119" customFormat="1">
      <c r="A293" s="65" t="s">
        <v>78</v>
      </c>
      <c r="B293" s="66" t="s">
        <v>71</v>
      </c>
      <c r="C293" s="66" t="s">
        <v>429</v>
      </c>
      <c r="D293" s="66" t="s">
        <v>559</v>
      </c>
      <c r="E293" s="66" t="s">
        <v>79</v>
      </c>
      <c r="F293" s="99">
        <v>500</v>
      </c>
      <c r="G293" s="99">
        <v>0</v>
      </c>
      <c r="H293" s="99">
        <v>0</v>
      </c>
      <c r="I293" s="99">
        <f t="shared" si="53"/>
        <v>0</v>
      </c>
    </row>
    <row r="294" spans="1:9" s="119" customFormat="1" ht="24">
      <c r="A294" s="58" t="s">
        <v>560</v>
      </c>
      <c r="B294" s="59" t="s">
        <v>71</v>
      </c>
      <c r="C294" s="59" t="s">
        <v>429</v>
      </c>
      <c r="D294" s="59" t="s">
        <v>561</v>
      </c>
      <c r="E294" s="59"/>
      <c r="F294" s="98">
        <f t="shared" ref="F294:H295" si="63">F295</f>
        <v>300</v>
      </c>
      <c r="G294" s="98">
        <f t="shared" si="63"/>
        <v>0</v>
      </c>
      <c r="H294" s="98">
        <f t="shared" si="63"/>
        <v>0</v>
      </c>
      <c r="I294" s="98">
        <f t="shared" si="53"/>
        <v>0</v>
      </c>
    </row>
    <row r="295" spans="1:9" s="119" customFormat="1">
      <c r="A295" s="65" t="s">
        <v>486</v>
      </c>
      <c r="B295" s="66" t="s">
        <v>71</v>
      </c>
      <c r="C295" s="66" t="s">
        <v>429</v>
      </c>
      <c r="D295" s="66" t="s">
        <v>561</v>
      </c>
      <c r="E295" s="66" t="s">
        <v>77</v>
      </c>
      <c r="F295" s="99">
        <f t="shared" si="63"/>
        <v>300</v>
      </c>
      <c r="G295" s="99">
        <f t="shared" si="63"/>
        <v>0</v>
      </c>
      <c r="H295" s="99">
        <f t="shared" si="63"/>
        <v>0</v>
      </c>
      <c r="I295" s="99">
        <f t="shared" si="53"/>
        <v>0</v>
      </c>
    </row>
    <row r="296" spans="1:9" s="119" customFormat="1">
      <c r="A296" s="65" t="s">
        <v>78</v>
      </c>
      <c r="B296" s="66" t="s">
        <v>71</v>
      </c>
      <c r="C296" s="66" t="s">
        <v>429</v>
      </c>
      <c r="D296" s="66" t="s">
        <v>561</v>
      </c>
      <c r="E296" s="66" t="s">
        <v>79</v>
      </c>
      <c r="F296" s="99">
        <v>300</v>
      </c>
      <c r="G296" s="99">
        <v>0</v>
      </c>
      <c r="H296" s="99">
        <v>0</v>
      </c>
      <c r="I296" s="99">
        <f t="shared" si="53"/>
        <v>0</v>
      </c>
    </row>
    <row r="297" spans="1:9" s="119" customFormat="1" ht="27">
      <c r="A297" s="69" t="s">
        <v>622</v>
      </c>
      <c r="B297" s="61" t="s">
        <v>71</v>
      </c>
      <c r="C297" s="61" t="s">
        <v>429</v>
      </c>
      <c r="D297" s="61" t="s">
        <v>215</v>
      </c>
      <c r="E297" s="61"/>
      <c r="F297" s="62">
        <f>F298</f>
        <v>2000</v>
      </c>
      <c r="G297" s="62">
        <f>G298</f>
        <v>1604.6759999999999</v>
      </c>
      <c r="H297" s="62">
        <f>H298</f>
        <v>2000</v>
      </c>
      <c r="I297" s="62">
        <f t="shared" si="53"/>
        <v>100</v>
      </c>
    </row>
    <row r="298" spans="1:9" s="119" customFormat="1">
      <c r="A298" s="58" t="s">
        <v>498</v>
      </c>
      <c r="B298" s="59" t="s">
        <v>71</v>
      </c>
      <c r="C298" s="59" t="s">
        <v>429</v>
      </c>
      <c r="D298" s="59" t="s">
        <v>216</v>
      </c>
      <c r="E298" s="66"/>
      <c r="F298" s="60">
        <f t="shared" ref="F298:H300" si="64">F299</f>
        <v>2000</v>
      </c>
      <c r="G298" s="60">
        <f t="shared" si="64"/>
        <v>1604.6759999999999</v>
      </c>
      <c r="H298" s="60">
        <f t="shared" si="64"/>
        <v>2000</v>
      </c>
      <c r="I298" s="60">
        <f t="shared" si="53"/>
        <v>100</v>
      </c>
    </row>
    <row r="299" spans="1:9" s="119" customFormat="1">
      <c r="A299" s="84" t="s">
        <v>623</v>
      </c>
      <c r="B299" s="71" t="s">
        <v>71</v>
      </c>
      <c r="C299" s="71" t="s">
        <v>429</v>
      </c>
      <c r="D299" s="77" t="s">
        <v>624</v>
      </c>
      <c r="E299" s="71"/>
      <c r="F299" s="80">
        <f t="shared" si="64"/>
        <v>2000</v>
      </c>
      <c r="G299" s="80">
        <f t="shared" si="64"/>
        <v>1604.6759999999999</v>
      </c>
      <c r="H299" s="80">
        <f t="shared" si="64"/>
        <v>2000</v>
      </c>
      <c r="I299" s="80">
        <f t="shared" si="53"/>
        <v>100</v>
      </c>
    </row>
    <row r="300" spans="1:9" s="119" customFormat="1">
      <c r="A300" s="65" t="s">
        <v>486</v>
      </c>
      <c r="B300" s="66" t="s">
        <v>71</v>
      </c>
      <c r="C300" s="66" t="s">
        <v>429</v>
      </c>
      <c r="D300" s="66" t="s">
        <v>624</v>
      </c>
      <c r="E300" s="66" t="s">
        <v>77</v>
      </c>
      <c r="F300" s="79">
        <f t="shared" si="64"/>
        <v>2000</v>
      </c>
      <c r="G300" s="79">
        <f t="shared" si="64"/>
        <v>1604.6759999999999</v>
      </c>
      <c r="H300" s="79">
        <f t="shared" si="64"/>
        <v>2000</v>
      </c>
      <c r="I300" s="79">
        <f t="shared" si="53"/>
        <v>100</v>
      </c>
    </row>
    <row r="301" spans="1:9" s="119" customFormat="1">
      <c r="A301" s="65" t="s">
        <v>78</v>
      </c>
      <c r="B301" s="66" t="s">
        <v>71</v>
      </c>
      <c r="C301" s="66" t="s">
        <v>429</v>
      </c>
      <c r="D301" s="66" t="s">
        <v>624</v>
      </c>
      <c r="E301" s="66" t="s">
        <v>79</v>
      </c>
      <c r="F301" s="79">
        <f>2000</f>
        <v>2000</v>
      </c>
      <c r="G301" s="79">
        <v>1604.6759999999999</v>
      </c>
      <c r="H301" s="79">
        <f>2000</f>
        <v>2000</v>
      </c>
      <c r="I301" s="79">
        <f t="shared" si="53"/>
        <v>100</v>
      </c>
    </row>
    <row r="302" spans="1:9" s="119" customFormat="1" ht="27">
      <c r="A302" s="69" t="s">
        <v>674</v>
      </c>
      <c r="B302" s="61" t="s">
        <v>71</v>
      </c>
      <c r="C302" s="61" t="s">
        <v>429</v>
      </c>
      <c r="D302" s="61" t="s">
        <v>243</v>
      </c>
      <c r="E302" s="61"/>
      <c r="F302" s="62">
        <f>F303+F306</f>
        <v>7327.85</v>
      </c>
      <c r="G302" s="62">
        <f>G303+G306</f>
        <v>1448.4190000000001</v>
      </c>
      <c r="H302" s="62">
        <f>H303+H306</f>
        <v>6055.75</v>
      </c>
      <c r="I302" s="62">
        <f t="shared" si="53"/>
        <v>82.64020142333699</v>
      </c>
    </row>
    <row r="303" spans="1:9" s="119" customFormat="1">
      <c r="A303" s="58" t="s">
        <v>200</v>
      </c>
      <c r="B303" s="59" t="s">
        <v>71</v>
      </c>
      <c r="C303" s="59" t="s">
        <v>429</v>
      </c>
      <c r="D303" s="59" t="s">
        <v>611</v>
      </c>
      <c r="E303" s="59"/>
      <c r="F303" s="60">
        <f t="shared" ref="F303:H304" si="65">F304</f>
        <v>7227.85</v>
      </c>
      <c r="G303" s="60">
        <f t="shared" si="65"/>
        <v>1427.596</v>
      </c>
      <c r="H303" s="60">
        <f t="shared" si="65"/>
        <v>5955.75</v>
      </c>
      <c r="I303" s="60">
        <f t="shared" si="53"/>
        <v>82.400022136596633</v>
      </c>
    </row>
    <row r="304" spans="1:9" s="119" customFormat="1">
      <c r="A304" s="65" t="s">
        <v>486</v>
      </c>
      <c r="B304" s="66" t="s">
        <v>71</v>
      </c>
      <c r="C304" s="66" t="s">
        <v>429</v>
      </c>
      <c r="D304" s="66" t="s">
        <v>611</v>
      </c>
      <c r="E304" s="66" t="s">
        <v>77</v>
      </c>
      <c r="F304" s="67">
        <f t="shared" si="65"/>
        <v>7227.85</v>
      </c>
      <c r="G304" s="67">
        <f t="shared" si="65"/>
        <v>1427.596</v>
      </c>
      <c r="H304" s="67">
        <f t="shared" si="65"/>
        <v>5955.75</v>
      </c>
      <c r="I304" s="67">
        <f t="shared" si="53"/>
        <v>82.400022136596633</v>
      </c>
    </row>
    <row r="305" spans="1:9" s="119" customFormat="1">
      <c r="A305" s="65" t="s">
        <v>78</v>
      </c>
      <c r="B305" s="66" t="s">
        <v>71</v>
      </c>
      <c r="C305" s="66" t="s">
        <v>429</v>
      </c>
      <c r="D305" s="66" t="s">
        <v>611</v>
      </c>
      <c r="E305" s="66" t="s">
        <v>79</v>
      </c>
      <c r="F305" s="67">
        <f>1000+4000+1800+427.85</f>
        <v>7227.85</v>
      </c>
      <c r="G305" s="67">
        <v>1427.596</v>
      </c>
      <c r="H305" s="67">
        <f>1000+4000+1800+427.85-1272.1</f>
        <v>5955.75</v>
      </c>
      <c r="I305" s="67">
        <f t="shared" si="53"/>
        <v>82.400022136596633</v>
      </c>
    </row>
    <row r="306" spans="1:9" s="119" customFormat="1">
      <c r="A306" s="85" t="s">
        <v>120</v>
      </c>
      <c r="B306" s="59" t="s">
        <v>71</v>
      </c>
      <c r="C306" s="59" t="s">
        <v>429</v>
      </c>
      <c r="D306" s="59" t="s">
        <v>612</v>
      </c>
      <c r="E306" s="59"/>
      <c r="F306" s="60">
        <f t="shared" ref="F306:H307" si="66">F307</f>
        <v>100</v>
      </c>
      <c r="G306" s="60">
        <f t="shared" si="66"/>
        <v>20.823</v>
      </c>
      <c r="H306" s="60">
        <f t="shared" si="66"/>
        <v>100</v>
      </c>
      <c r="I306" s="60">
        <f t="shared" si="53"/>
        <v>100</v>
      </c>
    </row>
    <row r="307" spans="1:9" s="119" customFormat="1">
      <c r="A307" s="65" t="s">
        <v>486</v>
      </c>
      <c r="B307" s="66" t="s">
        <v>71</v>
      </c>
      <c r="C307" s="66" t="s">
        <v>429</v>
      </c>
      <c r="D307" s="66" t="s">
        <v>612</v>
      </c>
      <c r="E307" s="66" t="s">
        <v>77</v>
      </c>
      <c r="F307" s="67">
        <f t="shared" si="66"/>
        <v>100</v>
      </c>
      <c r="G307" s="67">
        <f t="shared" si="66"/>
        <v>20.823</v>
      </c>
      <c r="H307" s="67">
        <f t="shared" si="66"/>
        <v>100</v>
      </c>
      <c r="I307" s="67">
        <f t="shared" si="53"/>
        <v>100</v>
      </c>
    </row>
    <row r="308" spans="1:9" s="119" customFormat="1">
      <c r="A308" s="65" t="s">
        <v>78</v>
      </c>
      <c r="B308" s="66" t="s">
        <v>71</v>
      </c>
      <c r="C308" s="66" t="s">
        <v>429</v>
      </c>
      <c r="D308" s="66" t="s">
        <v>612</v>
      </c>
      <c r="E308" s="66" t="s">
        <v>79</v>
      </c>
      <c r="F308" s="67">
        <v>100</v>
      </c>
      <c r="G308" s="67">
        <v>20.823</v>
      </c>
      <c r="H308" s="67">
        <v>100</v>
      </c>
      <c r="I308" s="67">
        <f t="shared" si="53"/>
        <v>100</v>
      </c>
    </row>
    <row r="309" spans="1:9" s="119" customFormat="1">
      <c r="A309" s="89" t="s">
        <v>67</v>
      </c>
      <c r="B309" s="71" t="s">
        <v>71</v>
      </c>
      <c r="C309" s="71" t="s">
        <v>429</v>
      </c>
      <c r="D309" s="71" t="s">
        <v>187</v>
      </c>
      <c r="E309" s="71"/>
      <c r="F309" s="72">
        <f>F310</f>
        <v>7000</v>
      </c>
      <c r="G309" s="72">
        <f>G310</f>
        <v>90</v>
      </c>
      <c r="H309" s="72">
        <f>H310</f>
        <v>7000</v>
      </c>
      <c r="I309" s="72">
        <f t="shared" si="53"/>
        <v>100</v>
      </c>
    </row>
    <row r="310" spans="1:9" s="119" customFormat="1">
      <c r="A310" s="58" t="s">
        <v>272</v>
      </c>
      <c r="B310" s="59" t="s">
        <v>71</v>
      </c>
      <c r="C310" s="59" t="s">
        <v>429</v>
      </c>
      <c r="D310" s="59" t="s">
        <v>188</v>
      </c>
      <c r="E310" s="59"/>
      <c r="F310" s="60">
        <f>F314+F311</f>
        <v>7000</v>
      </c>
      <c r="G310" s="60">
        <f>G314+G311</f>
        <v>90</v>
      </c>
      <c r="H310" s="60">
        <f>H314+H311</f>
        <v>7000</v>
      </c>
      <c r="I310" s="60">
        <f t="shared" si="53"/>
        <v>100</v>
      </c>
    </row>
    <row r="311" spans="1:9" s="119" customFormat="1">
      <c r="A311" s="58" t="s">
        <v>723</v>
      </c>
      <c r="B311" s="59" t="s">
        <v>71</v>
      </c>
      <c r="C311" s="59" t="s">
        <v>429</v>
      </c>
      <c r="D311" s="59" t="s">
        <v>475</v>
      </c>
      <c r="E311" s="59"/>
      <c r="F311" s="78">
        <f t="shared" ref="F311:H312" si="67">F312</f>
        <v>6000</v>
      </c>
      <c r="G311" s="78">
        <f t="shared" si="67"/>
        <v>0</v>
      </c>
      <c r="H311" s="78">
        <f t="shared" si="67"/>
        <v>6000</v>
      </c>
      <c r="I311" s="78">
        <f t="shared" si="53"/>
        <v>100</v>
      </c>
    </row>
    <row r="312" spans="1:9" s="119" customFormat="1">
      <c r="A312" s="65" t="s">
        <v>486</v>
      </c>
      <c r="B312" s="66" t="s">
        <v>71</v>
      </c>
      <c r="C312" s="66" t="s">
        <v>429</v>
      </c>
      <c r="D312" s="66" t="s">
        <v>475</v>
      </c>
      <c r="E312" s="81">
        <v>200</v>
      </c>
      <c r="F312" s="79">
        <f t="shared" si="67"/>
        <v>6000</v>
      </c>
      <c r="G312" s="79">
        <f t="shared" si="67"/>
        <v>0</v>
      </c>
      <c r="H312" s="79">
        <f t="shared" si="67"/>
        <v>6000</v>
      </c>
      <c r="I312" s="79">
        <f t="shared" si="53"/>
        <v>100</v>
      </c>
    </row>
    <row r="313" spans="1:9" s="119" customFormat="1">
      <c r="A313" s="65" t="s">
        <v>78</v>
      </c>
      <c r="B313" s="66" t="s">
        <v>71</v>
      </c>
      <c r="C313" s="66" t="s">
        <v>429</v>
      </c>
      <c r="D313" s="66" t="s">
        <v>475</v>
      </c>
      <c r="E313" s="66" t="s">
        <v>79</v>
      </c>
      <c r="F313" s="79">
        <f>1000+5000</f>
        <v>6000</v>
      </c>
      <c r="G313" s="79">
        <v>0</v>
      </c>
      <c r="H313" s="79">
        <f>1000+5000</f>
        <v>6000</v>
      </c>
      <c r="I313" s="79">
        <f t="shared" si="53"/>
        <v>100</v>
      </c>
    </row>
    <row r="314" spans="1:9" s="119" customFormat="1">
      <c r="A314" s="58" t="s">
        <v>311</v>
      </c>
      <c r="B314" s="59" t="s">
        <v>71</v>
      </c>
      <c r="C314" s="59" t="s">
        <v>429</v>
      </c>
      <c r="D314" s="59" t="s">
        <v>658</v>
      </c>
      <c r="E314" s="59"/>
      <c r="F314" s="60">
        <f t="shared" ref="F314:H315" si="68">F315</f>
        <v>1000</v>
      </c>
      <c r="G314" s="60">
        <f t="shared" si="68"/>
        <v>90</v>
      </c>
      <c r="H314" s="60">
        <f t="shared" si="68"/>
        <v>1000</v>
      </c>
      <c r="I314" s="60">
        <f t="shared" si="53"/>
        <v>100</v>
      </c>
    </row>
    <row r="315" spans="1:9" s="119" customFormat="1">
      <c r="A315" s="65" t="s">
        <v>486</v>
      </c>
      <c r="B315" s="66" t="s">
        <v>71</v>
      </c>
      <c r="C315" s="66" t="s">
        <v>429</v>
      </c>
      <c r="D315" s="66" t="s">
        <v>658</v>
      </c>
      <c r="E315" s="81">
        <v>200</v>
      </c>
      <c r="F315" s="67">
        <f t="shared" si="68"/>
        <v>1000</v>
      </c>
      <c r="G315" s="67">
        <f t="shared" si="68"/>
        <v>90</v>
      </c>
      <c r="H315" s="67">
        <f t="shared" si="68"/>
        <v>1000</v>
      </c>
      <c r="I315" s="67">
        <f t="shared" si="53"/>
        <v>100</v>
      </c>
    </row>
    <row r="316" spans="1:9" s="119" customFormat="1">
      <c r="A316" s="65" t="s">
        <v>78</v>
      </c>
      <c r="B316" s="66" t="s">
        <v>71</v>
      </c>
      <c r="C316" s="66" t="s">
        <v>429</v>
      </c>
      <c r="D316" s="66" t="s">
        <v>658</v>
      </c>
      <c r="E316" s="66" t="s">
        <v>79</v>
      </c>
      <c r="F316" s="67">
        <v>1000</v>
      </c>
      <c r="G316" s="67">
        <v>90</v>
      </c>
      <c r="H316" s="67">
        <v>1000</v>
      </c>
      <c r="I316" s="67">
        <f t="shared" si="53"/>
        <v>100</v>
      </c>
    </row>
    <row r="317" spans="1:9" s="119" customFormat="1">
      <c r="A317" s="58" t="s">
        <v>333</v>
      </c>
      <c r="B317" s="59" t="s">
        <v>376</v>
      </c>
      <c r="C317" s="59" t="s">
        <v>70</v>
      </c>
      <c r="D317" s="66"/>
      <c r="E317" s="66"/>
      <c r="F317" s="60">
        <f>F318+F360+F401+F469</f>
        <v>1264337.9935300001</v>
      </c>
      <c r="G317" s="60">
        <f>G318+G360+G401+G469</f>
        <v>787726.20416999981</v>
      </c>
      <c r="H317" s="60">
        <f>H318+H360+H401+H469</f>
        <v>1181747.4935300001</v>
      </c>
      <c r="I317" s="60">
        <f t="shared" si="53"/>
        <v>93.467688195510974</v>
      </c>
    </row>
    <row r="318" spans="1:9" s="119" customFormat="1">
      <c r="A318" s="58" t="s">
        <v>334</v>
      </c>
      <c r="B318" s="59" t="s">
        <v>376</v>
      </c>
      <c r="C318" s="59" t="s">
        <v>69</v>
      </c>
      <c r="D318" s="59"/>
      <c r="E318" s="59"/>
      <c r="F318" s="60">
        <f>F319+F353</f>
        <v>195257.53129999997</v>
      </c>
      <c r="G318" s="60">
        <f>G319+G353</f>
        <v>38888.074909999996</v>
      </c>
      <c r="H318" s="60">
        <f>H319+H353</f>
        <v>184477.53129999997</v>
      </c>
      <c r="I318" s="60">
        <f t="shared" si="53"/>
        <v>94.479086195432188</v>
      </c>
    </row>
    <row r="319" spans="1:9" s="119" customFormat="1" ht="27">
      <c r="A319" s="69" t="s">
        <v>622</v>
      </c>
      <c r="B319" s="61" t="s">
        <v>376</v>
      </c>
      <c r="C319" s="61" t="s">
        <v>69</v>
      </c>
      <c r="D319" s="61" t="s">
        <v>215</v>
      </c>
      <c r="E319" s="71"/>
      <c r="F319" s="62">
        <f>F320+F327+F337</f>
        <v>192957.53129999997</v>
      </c>
      <c r="G319" s="62">
        <f t="shared" ref="G319:H319" si="69">G320+G327+G337</f>
        <v>38354.482909999999</v>
      </c>
      <c r="H319" s="62">
        <f t="shared" si="69"/>
        <v>182177.53129999997</v>
      </c>
      <c r="I319" s="62">
        <f t="shared" si="53"/>
        <v>94.413278441441179</v>
      </c>
    </row>
    <row r="320" spans="1:9" s="119" customFormat="1">
      <c r="A320" s="58" t="s">
        <v>625</v>
      </c>
      <c r="B320" s="59" t="s">
        <v>376</v>
      </c>
      <c r="C320" s="59" t="s">
        <v>69</v>
      </c>
      <c r="D320" s="59" t="s">
        <v>217</v>
      </c>
      <c r="E320" s="59"/>
      <c r="F320" s="60">
        <f>F324+F321</f>
        <v>4000</v>
      </c>
      <c r="G320" s="60">
        <f t="shared" ref="G320:H320" si="70">G324+G321</f>
        <v>665.99599999999998</v>
      </c>
      <c r="H320" s="60">
        <f t="shared" si="70"/>
        <v>1000</v>
      </c>
      <c r="I320" s="60">
        <f t="shared" si="53"/>
        <v>25</v>
      </c>
    </row>
    <row r="321" spans="1:9" s="119" customFormat="1">
      <c r="A321" s="70" t="s">
        <v>626</v>
      </c>
      <c r="B321" s="71" t="s">
        <v>376</v>
      </c>
      <c r="C321" s="71" t="s">
        <v>69</v>
      </c>
      <c r="D321" s="71" t="s">
        <v>627</v>
      </c>
      <c r="E321" s="71"/>
      <c r="F321" s="80">
        <f>F322</f>
        <v>2000</v>
      </c>
      <c r="G321" s="80">
        <f t="shared" ref="G321:H322" si="71">G322</f>
        <v>0</v>
      </c>
      <c r="H321" s="80">
        <f t="shared" si="71"/>
        <v>0</v>
      </c>
      <c r="I321" s="80">
        <f t="shared" si="53"/>
        <v>0</v>
      </c>
    </row>
    <row r="322" spans="1:9" s="119" customFormat="1">
      <c r="A322" s="65" t="s">
        <v>486</v>
      </c>
      <c r="B322" s="66" t="s">
        <v>376</v>
      </c>
      <c r="C322" s="66" t="s">
        <v>69</v>
      </c>
      <c r="D322" s="66" t="s">
        <v>627</v>
      </c>
      <c r="E322" s="66" t="s">
        <v>77</v>
      </c>
      <c r="F322" s="79">
        <f>F323</f>
        <v>2000</v>
      </c>
      <c r="G322" s="79">
        <f t="shared" si="71"/>
        <v>0</v>
      </c>
      <c r="H322" s="79">
        <f t="shared" si="71"/>
        <v>0</v>
      </c>
      <c r="I322" s="79">
        <f t="shared" si="53"/>
        <v>0</v>
      </c>
    </row>
    <row r="323" spans="1:9" s="119" customFormat="1">
      <c r="A323" s="65" t="s">
        <v>78</v>
      </c>
      <c r="B323" s="66" t="s">
        <v>376</v>
      </c>
      <c r="C323" s="66" t="s">
        <v>69</v>
      </c>
      <c r="D323" s="66" t="s">
        <v>627</v>
      </c>
      <c r="E323" s="66" t="s">
        <v>79</v>
      </c>
      <c r="F323" s="79">
        <v>2000</v>
      </c>
      <c r="G323" s="314">
        <v>0</v>
      </c>
      <c r="H323" s="314">
        <v>0</v>
      </c>
      <c r="I323" s="79">
        <f t="shared" si="53"/>
        <v>0</v>
      </c>
    </row>
    <row r="324" spans="1:9" s="119" customFormat="1">
      <c r="A324" s="70" t="s">
        <v>218</v>
      </c>
      <c r="B324" s="71" t="s">
        <v>376</v>
      </c>
      <c r="C324" s="71" t="s">
        <v>69</v>
      </c>
      <c r="D324" s="71" t="s">
        <v>628</v>
      </c>
      <c r="E324" s="71"/>
      <c r="F324" s="80">
        <f t="shared" ref="F324:H325" si="72">F325</f>
        <v>2000</v>
      </c>
      <c r="G324" s="80">
        <f t="shared" si="72"/>
        <v>665.99599999999998</v>
      </c>
      <c r="H324" s="80">
        <f t="shared" si="72"/>
        <v>1000</v>
      </c>
      <c r="I324" s="80">
        <f t="shared" si="53"/>
        <v>50</v>
      </c>
    </row>
    <row r="325" spans="1:9" s="119" customFormat="1">
      <c r="A325" s="65" t="s">
        <v>486</v>
      </c>
      <c r="B325" s="66" t="s">
        <v>376</v>
      </c>
      <c r="C325" s="66" t="s">
        <v>69</v>
      </c>
      <c r="D325" s="66" t="s">
        <v>628</v>
      </c>
      <c r="E325" s="66" t="s">
        <v>77</v>
      </c>
      <c r="F325" s="79">
        <f t="shared" si="72"/>
        <v>2000</v>
      </c>
      <c r="G325" s="79">
        <f t="shared" si="72"/>
        <v>665.99599999999998</v>
      </c>
      <c r="H325" s="79">
        <f t="shared" si="72"/>
        <v>1000</v>
      </c>
      <c r="I325" s="79">
        <f t="shared" si="53"/>
        <v>50</v>
      </c>
    </row>
    <row r="326" spans="1:9" s="119" customFormat="1">
      <c r="A326" s="65" t="s">
        <v>78</v>
      </c>
      <c r="B326" s="66" t="s">
        <v>376</v>
      </c>
      <c r="C326" s="66" t="s">
        <v>69</v>
      </c>
      <c r="D326" s="66" t="s">
        <v>628</v>
      </c>
      <c r="E326" s="66" t="s">
        <v>79</v>
      </c>
      <c r="F326" s="79">
        <f>2000-1000+1000</f>
        <v>2000</v>
      </c>
      <c r="G326" s="79">
        <v>665.99599999999998</v>
      </c>
      <c r="H326" s="79">
        <f>2000-1000+1000-1000</f>
        <v>1000</v>
      </c>
      <c r="I326" s="79">
        <f t="shared" si="53"/>
        <v>50</v>
      </c>
    </row>
    <row r="327" spans="1:9" s="119" customFormat="1">
      <c r="A327" s="58" t="s">
        <v>629</v>
      </c>
      <c r="B327" s="59" t="s">
        <v>376</v>
      </c>
      <c r="C327" s="59" t="s">
        <v>69</v>
      </c>
      <c r="D327" s="59" t="s">
        <v>440</v>
      </c>
      <c r="E327" s="66"/>
      <c r="F327" s="60">
        <f>F328+F331+F334</f>
        <v>11100</v>
      </c>
      <c r="G327" s="60">
        <f>G328+G331+G334</f>
        <v>5968.7110000000002</v>
      </c>
      <c r="H327" s="60">
        <f>H328+H331+H334</f>
        <v>8100</v>
      </c>
      <c r="I327" s="60">
        <f t="shared" si="53"/>
        <v>72.972972972972968</v>
      </c>
    </row>
    <row r="328" spans="1:9" s="119" customFormat="1">
      <c r="A328" s="74" t="s">
        <v>630</v>
      </c>
      <c r="B328" s="71" t="s">
        <v>376</v>
      </c>
      <c r="C328" s="71" t="s">
        <v>69</v>
      </c>
      <c r="D328" s="71" t="s">
        <v>631</v>
      </c>
      <c r="E328" s="71"/>
      <c r="F328" s="72">
        <f t="shared" ref="F328:H329" si="73">F329</f>
        <v>500</v>
      </c>
      <c r="G328" s="331">
        <f t="shared" si="73"/>
        <v>0</v>
      </c>
      <c r="H328" s="72">
        <f t="shared" si="73"/>
        <v>500</v>
      </c>
      <c r="I328" s="72">
        <f t="shared" ref="I328:I388" si="74">H328/F328*100</f>
        <v>100</v>
      </c>
    </row>
    <row r="329" spans="1:9" s="119" customFormat="1">
      <c r="A329" s="65" t="s">
        <v>486</v>
      </c>
      <c r="B329" s="66" t="s">
        <v>376</v>
      </c>
      <c r="C329" s="66" t="s">
        <v>69</v>
      </c>
      <c r="D329" s="66" t="s">
        <v>631</v>
      </c>
      <c r="E329" s="66" t="s">
        <v>77</v>
      </c>
      <c r="F329" s="67">
        <f t="shared" si="73"/>
        <v>500</v>
      </c>
      <c r="G329" s="279">
        <f t="shared" si="73"/>
        <v>0</v>
      </c>
      <c r="H329" s="67">
        <f t="shared" si="73"/>
        <v>500</v>
      </c>
      <c r="I329" s="67">
        <f t="shared" si="74"/>
        <v>100</v>
      </c>
    </row>
    <row r="330" spans="1:9" s="119" customFormat="1">
      <c r="A330" s="65" t="s">
        <v>78</v>
      </c>
      <c r="B330" s="66" t="s">
        <v>376</v>
      </c>
      <c r="C330" s="66" t="s">
        <v>69</v>
      </c>
      <c r="D330" s="66" t="s">
        <v>631</v>
      </c>
      <c r="E330" s="66" t="s">
        <v>79</v>
      </c>
      <c r="F330" s="67">
        <v>500</v>
      </c>
      <c r="G330" s="279">
        <v>0</v>
      </c>
      <c r="H330" s="67">
        <v>500</v>
      </c>
      <c r="I330" s="67">
        <f t="shared" si="74"/>
        <v>100</v>
      </c>
    </row>
    <row r="331" spans="1:9" s="119" customFormat="1" ht="24">
      <c r="A331" s="70" t="s">
        <v>499</v>
      </c>
      <c r="B331" s="71" t="s">
        <v>376</v>
      </c>
      <c r="C331" s="71" t="s">
        <v>69</v>
      </c>
      <c r="D331" s="71" t="s">
        <v>632</v>
      </c>
      <c r="E331" s="71"/>
      <c r="F331" s="72">
        <f t="shared" ref="F331:H332" si="75">F332</f>
        <v>500</v>
      </c>
      <c r="G331" s="331">
        <f t="shared" si="75"/>
        <v>0</v>
      </c>
      <c r="H331" s="72">
        <f t="shared" si="75"/>
        <v>500</v>
      </c>
      <c r="I331" s="72">
        <f t="shared" si="74"/>
        <v>100</v>
      </c>
    </row>
    <row r="332" spans="1:9" s="119" customFormat="1">
      <c r="A332" s="65" t="s">
        <v>486</v>
      </c>
      <c r="B332" s="66" t="s">
        <v>376</v>
      </c>
      <c r="C332" s="66" t="s">
        <v>69</v>
      </c>
      <c r="D332" s="66" t="s">
        <v>632</v>
      </c>
      <c r="E332" s="66" t="s">
        <v>77</v>
      </c>
      <c r="F332" s="67">
        <f t="shared" si="75"/>
        <v>500</v>
      </c>
      <c r="G332" s="279">
        <f t="shared" si="75"/>
        <v>0</v>
      </c>
      <c r="H332" s="67">
        <f t="shared" si="75"/>
        <v>500</v>
      </c>
      <c r="I332" s="67">
        <f t="shared" si="74"/>
        <v>100</v>
      </c>
    </row>
    <row r="333" spans="1:9" s="119" customFormat="1">
      <c r="A333" s="65" t="s">
        <v>78</v>
      </c>
      <c r="B333" s="66" t="s">
        <v>376</v>
      </c>
      <c r="C333" s="66" t="s">
        <v>69</v>
      </c>
      <c r="D333" s="66" t="s">
        <v>632</v>
      </c>
      <c r="E333" s="66" t="s">
        <v>79</v>
      </c>
      <c r="F333" s="67">
        <v>500</v>
      </c>
      <c r="G333" s="279">
        <v>0</v>
      </c>
      <c r="H333" s="67">
        <v>500</v>
      </c>
      <c r="I333" s="67">
        <f t="shared" si="74"/>
        <v>100</v>
      </c>
    </row>
    <row r="334" spans="1:9" s="119" customFormat="1">
      <c r="A334" s="74" t="s">
        <v>219</v>
      </c>
      <c r="B334" s="71" t="s">
        <v>376</v>
      </c>
      <c r="C334" s="71" t="s">
        <v>69</v>
      </c>
      <c r="D334" s="77" t="s">
        <v>633</v>
      </c>
      <c r="E334" s="71"/>
      <c r="F334" s="72">
        <f t="shared" ref="F334:H335" si="76">F335</f>
        <v>10100</v>
      </c>
      <c r="G334" s="72">
        <f t="shared" si="76"/>
        <v>5968.7110000000002</v>
      </c>
      <c r="H334" s="72">
        <f t="shared" si="76"/>
        <v>7100</v>
      </c>
      <c r="I334" s="72">
        <f t="shared" si="74"/>
        <v>70.297029702970292</v>
      </c>
    </row>
    <row r="335" spans="1:9" s="119" customFormat="1">
      <c r="A335" s="65" t="s">
        <v>486</v>
      </c>
      <c r="B335" s="66" t="s">
        <v>376</v>
      </c>
      <c r="C335" s="66" t="s">
        <v>69</v>
      </c>
      <c r="D335" s="66" t="s">
        <v>633</v>
      </c>
      <c r="E335" s="66" t="s">
        <v>77</v>
      </c>
      <c r="F335" s="67">
        <f t="shared" si="76"/>
        <v>10100</v>
      </c>
      <c r="G335" s="67">
        <f t="shared" si="76"/>
        <v>5968.7110000000002</v>
      </c>
      <c r="H335" s="67">
        <f t="shared" si="76"/>
        <v>7100</v>
      </c>
      <c r="I335" s="67">
        <f t="shared" si="74"/>
        <v>70.297029702970292</v>
      </c>
    </row>
    <row r="336" spans="1:9" s="119" customFormat="1">
      <c r="A336" s="65" t="s">
        <v>78</v>
      </c>
      <c r="B336" s="66" t="s">
        <v>376</v>
      </c>
      <c r="C336" s="66" t="s">
        <v>69</v>
      </c>
      <c r="D336" s="66" t="s">
        <v>633</v>
      </c>
      <c r="E336" s="66" t="s">
        <v>79</v>
      </c>
      <c r="F336" s="67">
        <f>10100</f>
        <v>10100</v>
      </c>
      <c r="G336" s="67">
        <v>5968.7110000000002</v>
      </c>
      <c r="H336" s="67">
        <f>10100-3000</f>
        <v>7100</v>
      </c>
      <c r="I336" s="67">
        <f t="shared" si="74"/>
        <v>70.297029702970292</v>
      </c>
    </row>
    <row r="337" spans="1:9" s="119" customFormat="1">
      <c r="A337" s="58" t="s">
        <v>134</v>
      </c>
      <c r="B337" s="59" t="s">
        <v>376</v>
      </c>
      <c r="C337" s="59" t="s">
        <v>69</v>
      </c>
      <c r="D337" s="59" t="s">
        <v>114</v>
      </c>
      <c r="E337" s="66"/>
      <c r="F337" s="60">
        <f>F347+F350+F338+F344+F341</f>
        <v>177857.53129999997</v>
      </c>
      <c r="G337" s="60">
        <f>G347+G350+G338+G344+G341</f>
        <v>31719.775909999997</v>
      </c>
      <c r="H337" s="60">
        <f>H347+H350+H338+H344+H341</f>
        <v>173077.53129999997</v>
      </c>
      <c r="I337" s="60">
        <f t="shared" si="74"/>
        <v>97.31245566883679</v>
      </c>
    </row>
    <row r="338" spans="1:9" s="119" customFormat="1" ht="48">
      <c r="A338" s="84" t="s">
        <v>517</v>
      </c>
      <c r="B338" s="71" t="s">
        <v>376</v>
      </c>
      <c r="C338" s="71" t="s">
        <v>69</v>
      </c>
      <c r="D338" s="71" t="s">
        <v>520</v>
      </c>
      <c r="E338" s="71"/>
      <c r="F338" s="80">
        <f t="shared" ref="F338:H339" si="77">F339</f>
        <v>97778.907380000004</v>
      </c>
      <c r="G338" s="80">
        <f t="shared" si="77"/>
        <v>0</v>
      </c>
      <c r="H338" s="80">
        <f t="shared" si="77"/>
        <v>97778.907380000004</v>
      </c>
      <c r="I338" s="80">
        <f t="shared" si="74"/>
        <v>100</v>
      </c>
    </row>
    <row r="339" spans="1:9" s="119" customFormat="1">
      <c r="A339" s="65" t="s">
        <v>199</v>
      </c>
      <c r="B339" s="66" t="s">
        <v>376</v>
      </c>
      <c r="C339" s="66" t="s">
        <v>69</v>
      </c>
      <c r="D339" s="66" t="s">
        <v>520</v>
      </c>
      <c r="E339" s="66" t="s">
        <v>377</v>
      </c>
      <c r="F339" s="79">
        <f t="shared" si="77"/>
        <v>97778.907380000004</v>
      </c>
      <c r="G339" s="79">
        <f t="shared" si="77"/>
        <v>0</v>
      </c>
      <c r="H339" s="79">
        <f t="shared" si="77"/>
        <v>97778.907380000004</v>
      </c>
      <c r="I339" s="79">
        <f t="shared" si="74"/>
        <v>100</v>
      </c>
    </row>
    <row r="340" spans="1:9" s="119" customFormat="1">
      <c r="A340" s="65" t="s">
        <v>378</v>
      </c>
      <c r="B340" s="66" t="s">
        <v>376</v>
      </c>
      <c r="C340" s="66" t="s">
        <v>69</v>
      </c>
      <c r="D340" s="66" t="s">
        <v>520</v>
      </c>
      <c r="E340" s="66" t="s">
        <v>379</v>
      </c>
      <c r="F340" s="79">
        <f>19512.04901+78266.85837</f>
        <v>97778.907380000004</v>
      </c>
      <c r="G340" s="79">
        <v>0</v>
      </c>
      <c r="H340" s="79">
        <f>19512.04901+78266.85837</f>
        <v>97778.907380000004</v>
      </c>
      <c r="I340" s="79">
        <f t="shared" si="74"/>
        <v>100</v>
      </c>
    </row>
    <row r="341" spans="1:9" s="119" customFormat="1" ht="40.5">
      <c r="A341" s="69" t="s">
        <v>518</v>
      </c>
      <c r="B341" s="61" t="s">
        <v>376</v>
      </c>
      <c r="C341" s="61" t="s">
        <v>69</v>
      </c>
      <c r="D341" s="61" t="s">
        <v>521</v>
      </c>
      <c r="E341" s="61"/>
      <c r="F341" s="80">
        <f t="shared" ref="F341:H342" si="78">F342</f>
        <v>686.82392000000004</v>
      </c>
      <c r="G341" s="80">
        <f t="shared" si="78"/>
        <v>0</v>
      </c>
      <c r="H341" s="80">
        <f t="shared" si="78"/>
        <v>686.82392000000004</v>
      </c>
      <c r="I341" s="80">
        <f t="shared" si="74"/>
        <v>100</v>
      </c>
    </row>
    <row r="342" spans="1:9" s="119" customFormat="1">
      <c r="A342" s="65" t="s">
        <v>199</v>
      </c>
      <c r="B342" s="66" t="s">
        <v>376</v>
      </c>
      <c r="C342" s="66" t="s">
        <v>69</v>
      </c>
      <c r="D342" s="66" t="s">
        <v>521</v>
      </c>
      <c r="E342" s="66" t="s">
        <v>377</v>
      </c>
      <c r="F342" s="79">
        <f t="shared" si="78"/>
        <v>686.82392000000004</v>
      </c>
      <c r="G342" s="79">
        <f t="shared" si="78"/>
        <v>0</v>
      </c>
      <c r="H342" s="79">
        <f t="shared" si="78"/>
        <v>686.82392000000004</v>
      </c>
      <c r="I342" s="79">
        <f t="shared" si="74"/>
        <v>100</v>
      </c>
    </row>
    <row r="343" spans="1:9" s="119" customFormat="1">
      <c r="A343" s="65" t="s">
        <v>378</v>
      </c>
      <c r="B343" s="66" t="s">
        <v>376</v>
      </c>
      <c r="C343" s="66" t="s">
        <v>69</v>
      </c>
      <c r="D343" s="66" t="s">
        <v>521</v>
      </c>
      <c r="E343" s="66" t="s">
        <v>379</v>
      </c>
      <c r="F343" s="79">
        <v>686.82392000000004</v>
      </c>
      <c r="G343" s="79">
        <v>0</v>
      </c>
      <c r="H343" s="79">
        <v>686.82392000000004</v>
      </c>
      <c r="I343" s="79">
        <f t="shared" si="74"/>
        <v>100</v>
      </c>
    </row>
    <row r="344" spans="1:9" s="119" customFormat="1">
      <c r="A344" s="125" t="s">
        <v>495</v>
      </c>
      <c r="B344" s="59" t="s">
        <v>376</v>
      </c>
      <c r="C344" s="59" t="s">
        <v>69</v>
      </c>
      <c r="D344" s="59" t="s">
        <v>522</v>
      </c>
      <c r="E344" s="59"/>
      <c r="F344" s="60">
        <f t="shared" ref="F344:H345" si="79">F345</f>
        <v>37686.800000000003</v>
      </c>
      <c r="G344" s="314">
        <f t="shared" si="79"/>
        <v>0</v>
      </c>
      <c r="H344" s="60">
        <f t="shared" si="79"/>
        <v>37686.800000000003</v>
      </c>
      <c r="I344" s="60">
        <f t="shared" si="74"/>
        <v>100</v>
      </c>
    </row>
    <row r="345" spans="1:9" s="119" customFormat="1">
      <c r="A345" s="126" t="s">
        <v>199</v>
      </c>
      <c r="B345" s="66" t="s">
        <v>376</v>
      </c>
      <c r="C345" s="66" t="s">
        <v>69</v>
      </c>
      <c r="D345" s="66" t="s">
        <v>522</v>
      </c>
      <c r="E345" s="66" t="s">
        <v>377</v>
      </c>
      <c r="F345" s="67">
        <f t="shared" si="79"/>
        <v>37686.800000000003</v>
      </c>
      <c r="G345" s="279">
        <f t="shared" si="79"/>
        <v>0</v>
      </c>
      <c r="H345" s="67">
        <f t="shared" si="79"/>
        <v>37686.800000000003</v>
      </c>
      <c r="I345" s="67">
        <f t="shared" si="74"/>
        <v>100</v>
      </c>
    </row>
    <row r="346" spans="1:9" s="119" customFormat="1">
      <c r="A346" s="126" t="s">
        <v>378</v>
      </c>
      <c r="B346" s="66" t="s">
        <v>376</v>
      </c>
      <c r="C346" s="66" t="s">
        <v>69</v>
      </c>
      <c r="D346" s="66" t="s">
        <v>522</v>
      </c>
      <c r="E346" s="66" t="s">
        <v>379</v>
      </c>
      <c r="F346" s="67">
        <f>9686.8+28000</f>
        <v>37686.800000000003</v>
      </c>
      <c r="G346" s="279">
        <v>0</v>
      </c>
      <c r="H346" s="67">
        <f>9686.8+28000</f>
        <v>37686.800000000003</v>
      </c>
      <c r="I346" s="67">
        <f t="shared" si="74"/>
        <v>100</v>
      </c>
    </row>
    <row r="347" spans="1:9" s="119" customFormat="1" ht="24">
      <c r="A347" s="70" t="s">
        <v>393</v>
      </c>
      <c r="B347" s="71" t="s">
        <v>376</v>
      </c>
      <c r="C347" s="71" t="s">
        <v>69</v>
      </c>
      <c r="D347" s="71" t="s">
        <v>441</v>
      </c>
      <c r="E347" s="71"/>
      <c r="F347" s="72">
        <f t="shared" ref="F347:H348" si="80">F348</f>
        <v>38905</v>
      </c>
      <c r="G347" s="72">
        <f t="shared" si="80"/>
        <v>29227.416819999999</v>
      </c>
      <c r="H347" s="72">
        <f t="shared" si="80"/>
        <v>34125</v>
      </c>
      <c r="I347" s="72">
        <f t="shared" si="74"/>
        <v>87.713661483099855</v>
      </c>
    </row>
    <row r="348" spans="1:9" s="119" customFormat="1">
      <c r="A348" s="65" t="s">
        <v>94</v>
      </c>
      <c r="B348" s="66" t="s">
        <v>376</v>
      </c>
      <c r="C348" s="66" t="s">
        <v>69</v>
      </c>
      <c r="D348" s="66" t="s">
        <v>441</v>
      </c>
      <c r="E348" s="66" t="s">
        <v>362</v>
      </c>
      <c r="F348" s="67">
        <f t="shared" si="80"/>
        <v>38905</v>
      </c>
      <c r="G348" s="67">
        <f t="shared" si="80"/>
        <v>29227.416819999999</v>
      </c>
      <c r="H348" s="67">
        <f t="shared" si="80"/>
        <v>34125</v>
      </c>
      <c r="I348" s="67">
        <f t="shared" si="74"/>
        <v>87.713661483099855</v>
      </c>
    </row>
    <row r="349" spans="1:9" s="119" customFormat="1" ht="24">
      <c r="A349" s="65" t="s">
        <v>669</v>
      </c>
      <c r="B349" s="66" t="s">
        <v>376</v>
      </c>
      <c r="C349" s="66" t="s">
        <v>69</v>
      </c>
      <c r="D349" s="66" t="s">
        <v>441</v>
      </c>
      <c r="E349" s="66" t="s">
        <v>403</v>
      </c>
      <c r="F349" s="67">
        <f>39000-13000+12905</f>
        <v>38905</v>
      </c>
      <c r="G349" s="67">
        <v>29227.416819999999</v>
      </c>
      <c r="H349" s="67">
        <f>39000-13000+12905-4780</f>
        <v>34125</v>
      </c>
      <c r="I349" s="67">
        <f t="shared" si="74"/>
        <v>87.713661483099855</v>
      </c>
    </row>
    <row r="350" spans="1:9" s="119" customFormat="1" ht="24">
      <c r="A350" s="70" t="s">
        <v>634</v>
      </c>
      <c r="B350" s="71" t="s">
        <v>376</v>
      </c>
      <c r="C350" s="71" t="s">
        <v>69</v>
      </c>
      <c r="D350" s="71" t="s">
        <v>635</v>
      </c>
      <c r="E350" s="71"/>
      <c r="F350" s="80">
        <f t="shared" ref="F350:H351" si="81">F351</f>
        <v>2800</v>
      </c>
      <c r="G350" s="80">
        <f t="shared" si="81"/>
        <v>2492.3590899999999</v>
      </c>
      <c r="H350" s="80">
        <f t="shared" si="81"/>
        <v>2800</v>
      </c>
      <c r="I350" s="80">
        <f t="shared" si="74"/>
        <v>100</v>
      </c>
    </row>
    <row r="351" spans="1:9" s="119" customFormat="1">
      <c r="A351" s="65" t="s">
        <v>486</v>
      </c>
      <c r="B351" s="66" t="s">
        <v>376</v>
      </c>
      <c r="C351" s="66" t="s">
        <v>69</v>
      </c>
      <c r="D351" s="66" t="s">
        <v>635</v>
      </c>
      <c r="E351" s="66" t="s">
        <v>77</v>
      </c>
      <c r="F351" s="79">
        <f t="shared" si="81"/>
        <v>2800</v>
      </c>
      <c r="G351" s="79">
        <f t="shared" si="81"/>
        <v>2492.3590899999999</v>
      </c>
      <c r="H351" s="79">
        <f t="shared" si="81"/>
        <v>2800</v>
      </c>
      <c r="I351" s="79">
        <f t="shared" si="74"/>
        <v>100</v>
      </c>
    </row>
    <row r="352" spans="1:9" s="119" customFormat="1">
      <c r="A352" s="65" t="s">
        <v>78</v>
      </c>
      <c r="B352" s="66" t="s">
        <v>376</v>
      </c>
      <c r="C352" s="66" t="s">
        <v>69</v>
      </c>
      <c r="D352" s="66" t="s">
        <v>635</v>
      </c>
      <c r="E352" s="66" t="s">
        <v>79</v>
      </c>
      <c r="F352" s="79">
        <f>2800</f>
        <v>2800</v>
      </c>
      <c r="G352" s="79">
        <v>2492.3590899999999</v>
      </c>
      <c r="H352" s="79">
        <f>2800</f>
        <v>2800</v>
      </c>
      <c r="I352" s="79">
        <f t="shared" si="74"/>
        <v>100</v>
      </c>
    </row>
    <row r="353" spans="1:9" s="119" customFormat="1" ht="27">
      <c r="A353" s="69" t="s">
        <v>674</v>
      </c>
      <c r="B353" s="61" t="s">
        <v>376</v>
      </c>
      <c r="C353" s="61" t="s">
        <v>69</v>
      </c>
      <c r="D353" s="61" t="s">
        <v>243</v>
      </c>
      <c r="E353" s="61"/>
      <c r="F353" s="62">
        <f>F354+F357</f>
        <v>2300</v>
      </c>
      <c r="G353" s="62">
        <f t="shared" ref="G353:H353" si="82">G354+G357</f>
        <v>533.59199999999998</v>
      </c>
      <c r="H353" s="62">
        <f t="shared" si="82"/>
        <v>2300</v>
      </c>
      <c r="I353" s="62">
        <f t="shared" si="74"/>
        <v>100</v>
      </c>
    </row>
    <row r="354" spans="1:9" s="119" customFormat="1" ht="24">
      <c r="A354" s="58" t="s">
        <v>434</v>
      </c>
      <c r="B354" s="59" t="s">
        <v>376</v>
      </c>
      <c r="C354" s="59" t="s">
        <v>69</v>
      </c>
      <c r="D354" s="59" t="s">
        <v>613</v>
      </c>
      <c r="E354" s="59"/>
      <c r="F354" s="78">
        <f t="shared" ref="F354:H355" si="83">F355</f>
        <v>2000</v>
      </c>
      <c r="G354" s="78">
        <f t="shared" si="83"/>
        <v>503.59199999999998</v>
      </c>
      <c r="H354" s="78">
        <f t="shared" si="83"/>
        <v>2000</v>
      </c>
      <c r="I354" s="78">
        <f t="shared" si="74"/>
        <v>100</v>
      </c>
    </row>
    <row r="355" spans="1:9" s="119" customFormat="1">
      <c r="A355" s="65" t="s">
        <v>486</v>
      </c>
      <c r="B355" s="66" t="s">
        <v>376</v>
      </c>
      <c r="C355" s="66" t="s">
        <v>69</v>
      </c>
      <c r="D355" s="66" t="s">
        <v>613</v>
      </c>
      <c r="E355" s="66" t="s">
        <v>77</v>
      </c>
      <c r="F355" s="79">
        <f t="shared" si="83"/>
        <v>2000</v>
      </c>
      <c r="G355" s="79">
        <f t="shared" si="83"/>
        <v>503.59199999999998</v>
      </c>
      <c r="H355" s="79">
        <f t="shared" si="83"/>
        <v>2000</v>
      </c>
      <c r="I355" s="79">
        <f t="shared" si="74"/>
        <v>100</v>
      </c>
    </row>
    <row r="356" spans="1:9" s="119" customFormat="1">
      <c r="A356" s="65" t="s">
        <v>78</v>
      </c>
      <c r="B356" s="66" t="s">
        <v>376</v>
      </c>
      <c r="C356" s="66" t="s">
        <v>69</v>
      </c>
      <c r="D356" s="66" t="s">
        <v>613</v>
      </c>
      <c r="E356" s="66" t="s">
        <v>79</v>
      </c>
      <c r="F356" s="79">
        <v>2000</v>
      </c>
      <c r="G356" s="79">
        <v>503.59199999999998</v>
      </c>
      <c r="H356" s="79">
        <v>2000</v>
      </c>
      <c r="I356" s="79">
        <f t="shared" si="74"/>
        <v>100</v>
      </c>
    </row>
    <row r="357" spans="1:9" s="119" customFormat="1">
      <c r="A357" s="85" t="s">
        <v>120</v>
      </c>
      <c r="B357" s="59" t="s">
        <v>376</v>
      </c>
      <c r="C357" s="59" t="s">
        <v>69</v>
      </c>
      <c r="D357" s="59" t="s">
        <v>612</v>
      </c>
      <c r="E357" s="59"/>
      <c r="F357" s="78">
        <f t="shared" ref="F357:H358" si="84">F358</f>
        <v>300</v>
      </c>
      <c r="G357" s="78">
        <f t="shared" si="84"/>
        <v>30</v>
      </c>
      <c r="H357" s="78">
        <f t="shared" si="84"/>
        <v>300</v>
      </c>
      <c r="I357" s="78">
        <f t="shared" si="74"/>
        <v>100</v>
      </c>
    </row>
    <row r="358" spans="1:9" s="119" customFormat="1">
      <c r="A358" s="65" t="s">
        <v>486</v>
      </c>
      <c r="B358" s="66" t="s">
        <v>376</v>
      </c>
      <c r="C358" s="66" t="s">
        <v>69</v>
      </c>
      <c r="D358" s="66" t="s">
        <v>612</v>
      </c>
      <c r="E358" s="66" t="s">
        <v>77</v>
      </c>
      <c r="F358" s="79">
        <f t="shared" si="84"/>
        <v>300</v>
      </c>
      <c r="G358" s="79">
        <f t="shared" si="84"/>
        <v>30</v>
      </c>
      <c r="H358" s="79">
        <f t="shared" si="84"/>
        <v>300</v>
      </c>
      <c r="I358" s="79">
        <f t="shared" si="74"/>
        <v>100</v>
      </c>
    </row>
    <row r="359" spans="1:9" s="119" customFormat="1">
      <c r="A359" s="65" t="s">
        <v>78</v>
      </c>
      <c r="B359" s="66" t="s">
        <v>376</v>
      </c>
      <c r="C359" s="66" t="s">
        <v>69</v>
      </c>
      <c r="D359" s="66" t="s">
        <v>612</v>
      </c>
      <c r="E359" s="66" t="s">
        <v>79</v>
      </c>
      <c r="F359" s="79">
        <v>300</v>
      </c>
      <c r="G359" s="79">
        <v>30</v>
      </c>
      <c r="H359" s="79">
        <v>300</v>
      </c>
      <c r="I359" s="79">
        <f t="shared" si="74"/>
        <v>100</v>
      </c>
    </row>
    <row r="360" spans="1:9" s="119" customFormat="1">
      <c r="A360" s="58" t="s">
        <v>335</v>
      </c>
      <c r="B360" s="59" t="s">
        <v>376</v>
      </c>
      <c r="C360" s="59" t="s">
        <v>431</v>
      </c>
      <c r="D360" s="59"/>
      <c r="E360" s="59"/>
      <c r="F360" s="60">
        <f>F361+F385</f>
        <v>176262.51094000001</v>
      </c>
      <c r="G360" s="60">
        <f>G361+G385</f>
        <v>76610.337450000006</v>
      </c>
      <c r="H360" s="60">
        <f>H361+H385</f>
        <v>126452.51094000001</v>
      </c>
      <c r="I360" s="60">
        <f t="shared" si="74"/>
        <v>71.741013029733026</v>
      </c>
    </row>
    <row r="361" spans="1:9" s="119" customFormat="1" ht="27">
      <c r="A361" s="69" t="s">
        <v>622</v>
      </c>
      <c r="B361" s="61" t="s">
        <v>376</v>
      </c>
      <c r="C361" s="61" t="s">
        <v>431</v>
      </c>
      <c r="D361" s="61" t="s">
        <v>215</v>
      </c>
      <c r="E361" s="71"/>
      <c r="F361" s="62">
        <f>F362+F371+F377+F381</f>
        <v>112666.8</v>
      </c>
      <c r="G361" s="62">
        <f>G362+G371+G377+G381</f>
        <v>63531.824840000001</v>
      </c>
      <c r="H361" s="62">
        <f>H362+H371+H377+H381</f>
        <v>84356.800000000003</v>
      </c>
      <c r="I361" s="62">
        <f t="shared" si="74"/>
        <v>74.87281080140734</v>
      </c>
    </row>
    <row r="362" spans="1:9" s="119" customFormat="1" ht="13.5">
      <c r="A362" s="69" t="s">
        <v>636</v>
      </c>
      <c r="B362" s="61" t="s">
        <v>376</v>
      </c>
      <c r="C362" s="61" t="s">
        <v>431</v>
      </c>
      <c r="D362" s="61" t="s">
        <v>220</v>
      </c>
      <c r="E362" s="71"/>
      <c r="F362" s="62">
        <f>F363+F368</f>
        <v>15500</v>
      </c>
      <c r="G362" s="62">
        <f>G363+G368</f>
        <v>738</v>
      </c>
      <c r="H362" s="62">
        <f>H363+H368</f>
        <v>10500</v>
      </c>
      <c r="I362" s="62">
        <f t="shared" si="74"/>
        <v>67.741935483870961</v>
      </c>
    </row>
    <row r="363" spans="1:9" s="119" customFormat="1">
      <c r="A363" s="58" t="s">
        <v>637</v>
      </c>
      <c r="B363" s="59" t="s">
        <v>376</v>
      </c>
      <c r="C363" s="59" t="s">
        <v>431</v>
      </c>
      <c r="D363" s="59" t="s">
        <v>638</v>
      </c>
      <c r="E363" s="66"/>
      <c r="F363" s="78">
        <f>F364+F366</f>
        <v>15000</v>
      </c>
      <c r="G363" s="78">
        <f>G364+G366</f>
        <v>738</v>
      </c>
      <c r="H363" s="78">
        <f>H364+H366</f>
        <v>10000</v>
      </c>
      <c r="I363" s="78">
        <f t="shared" si="74"/>
        <v>66.666666666666657</v>
      </c>
    </row>
    <row r="364" spans="1:9" s="119" customFormat="1">
      <c r="A364" s="65" t="s">
        <v>486</v>
      </c>
      <c r="B364" s="82" t="s">
        <v>376</v>
      </c>
      <c r="C364" s="82" t="s">
        <v>431</v>
      </c>
      <c r="D364" s="66" t="s">
        <v>638</v>
      </c>
      <c r="E364" s="66" t="s">
        <v>77</v>
      </c>
      <c r="F364" s="79">
        <f>F365</f>
        <v>4500</v>
      </c>
      <c r="G364" s="79">
        <f>G365</f>
        <v>0</v>
      </c>
      <c r="H364" s="79">
        <f>H365</f>
        <v>4500</v>
      </c>
      <c r="I364" s="79">
        <f t="shared" si="74"/>
        <v>100</v>
      </c>
    </row>
    <row r="365" spans="1:9" s="68" customFormat="1">
      <c r="A365" s="65" t="s">
        <v>78</v>
      </c>
      <c r="B365" s="66" t="s">
        <v>376</v>
      </c>
      <c r="C365" s="66" t="s">
        <v>431</v>
      </c>
      <c r="D365" s="66" t="s">
        <v>638</v>
      </c>
      <c r="E365" s="66" t="s">
        <v>79</v>
      </c>
      <c r="F365" s="79">
        <v>4500</v>
      </c>
      <c r="G365" s="79">
        <v>0</v>
      </c>
      <c r="H365" s="79">
        <v>4500</v>
      </c>
      <c r="I365" s="79">
        <f t="shared" si="74"/>
        <v>100</v>
      </c>
    </row>
    <row r="366" spans="1:9" s="118" customFormat="1">
      <c r="A366" s="65" t="s">
        <v>199</v>
      </c>
      <c r="B366" s="82" t="s">
        <v>376</v>
      </c>
      <c r="C366" s="82" t="s">
        <v>431</v>
      </c>
      <c r="D366" s="66" t="s">
        <v>638</v>
      </c>
      <c r="E366" s="66" t="s">
        <v>377</v>
      </c>
      <c r="F366" s="79">
        <f>F367</f>
        <v>10500</v>
      </c>
      <c r="G366" s="79">
        <f>G367</f>
        <v>738</v>
      </c>
      <c r="H366" s="79">
        <f>H367</f>
        <v>5500</v>
      </c>
      <c r="I366" s="79">
        <f t="shared" si="74"/>
        <v>52.380952380952387</v>
      </c>
    </row>
    <row r="367" spans="1:9" s="118" customFormat="1">
      <c r="A367" s="65" t="s">
        <v>378</v>
      </c>
      <c r="B367" s="66" t="s">
        <v>376</v>
      </c>
      <c r="C367" s="66" t="s">
        <v>431</v>
      </c>
      <c r="D367" s="66" t="s">
        <v>638</v>
      </c>
      <c r="E367" s="66" t="s">
        <v>379</v>
      </c>
      <c r="F367" s="79">
        <v>10500</v>
      </c>
      <c r="G367" s="79">
        <v>738</v>
      </c>
      <c r="H367" s="79">
        <f>10500-5000</f>
        <v>5500</v>
      </c>
      <c r="I367" s="79">
        <f t="shared" si="74"/>
        <v>52.380952380952387</v>
      </c>
    </row>
    <row r="368" spans="1:9" s="118" customFormat="1">
      <c r="A368" s="58" t="s">
        <v>501</v>
      </c>
      <c r="B368" s="59" t="s">
        <v>376</v>
      </c>
      <c r="C368" s="59" t="s">
        <v>431</v>
      </c>
      <c r="D368" s="59" t="s">
        <v>639</v>
      </c>
      <c r="E368" s="59"/>
      <c r="F368" s="78">
        <f t="shared" ref="F368:H369" si="85">F369</f>
        <v>500</v>
      </c>
      <c r="G368" s="78">
        <f t="shared" si="85"/>
        <v>0</v>
      </c>
      <c r="H368" s="78">
        <f t="shared" si="85"/>
        <v>500</v>
      </c>
      <c r="I368" s="78">
        <f t="shared" si="74"/>
        <v>100</v>
      </c>
    </row>
    <row r="369" spans="1:9" s="118" customFormat="1">
      <c r="A369" s="65" t="s">
        <v>486</v>
      </c>
      <c r="B369" s="66" t="s">
        <v>376</v>
      </c>
      <c r="C369" s="66" t="s">
        <v>431</v>
      </c>
      <c r="D369" s="66" t="s">
        <v>639</v>
      </c>
      <c r="E369" s="66" t="s">
        <v>77</v>
      </c>
      <c r="F369" s="79">
        <f t="shared" si="85"/>
        <v>500</v>
      </c>
      <c r="G369" s="79">
        <f t="shared" si="85"/>
        <v>0</v>
      </c>
      <c r="H369" s="79">
        <f t="shared" si="85"/>
        <v>500</v>
      </c>
      <c r="I369" s="79">
        <f t="shared" si="74"/>
        <v>100</v>
      </c>
    </row>
    <row r="370" spans="1:9" s="118" customFormat="1">
      <c r="A370" s="65" t="s">
        <v>78</v>
      </c>
      <c r="B370" s="66" t="s">
        <v>376</v>
      </c>
      <c r="C370" s="66" t="s">
        <v>431</v>
      </c>
      <c r="D370" s="66" t="s">
        <v>639</v>
      </c>
      <c r="E370" s="66" t="s">
        <v>79</v>
      </c>
      <c r="F370" s="79">
        <f>3000-2500</f>
        <v>500</v>
      </c>
      <c r="G370" s="79">
        <v>0</v>
      </c>
      <c r="H370" s="79">
        <f>3000-2500</f>
        <v>500</v>
      </c>
      <c r="I370" s="79">
        <f t="shared" si="74"/>
        <v>100</v>
      </c>
    </row>
    <row r="371" spans="1:9" s="118" customFormat="1">
      <c r="A371" s="58" t="s">
        <v>640</v>
      </c>
      <c r="B371" s="59" t="s">
        <v>376</v>
      </c>
      <c r="C371" s="59" t="s">
        <v>431</v>
      </c>
      <c r="D371" s="59" t="s">
        <v>135</v>
      </c>
      <c r="E371" s="66"/>
      <c r="F371" s="60">
        <f>F372</f>
        <v>74856.800000000003</v>
      </c>
      <c r="G371" s="60">
        <f>G372</f>
        <v>62793.824840000001</v>
      </c>
      <c r="H371" s="60">
        <f>H372</f>
        <v>71856.800000000003</v>
      </c>
      <c r="I371" s="60">
        <f t="shared" si="74"/>
        <v>95.992348056555983</v>
      </c>
    </row>
    <row r="372" spans="1:9" s="118" customFormat="1">
      <c r="A372" s="70" t="s">
        <v>641</v>
      </c>
      <c r="B372" s="71" t="s">
        <v>376</v>
      </c>
      <c r="C372" s="71" t="s">
        <v>431</v>
      </c>
      <c r="D372" s="71" t="s">
        <v>642</v>
      </c>
      <c r="E372" s="83"/>
      <c r="F372" s="72">
        <f>F373+F375</f>
        <v>74856.800000000003</v>
      </c>
      <c r="G372" s="72">
        <f>G373+G375</f>
        <v>62793.824840000001</v>
      </c>
      <c r="H372" s="72">
        <f>H373+H375</f>
        <v>71856.800000000003</v>
      </c>
      <c r="I372" s="72">
        <f t="shared" si="74"/>
        <v>95.992348056555983</v>
      </c>
    </row>
    <row r="373" spans="1:9" s="118" customFormat="1">
      <c r="A373" s="65" t="s">
        <v>486</v>
      </c>
      <c r="B373" s="66" t="s">
        <v>376</v>
      </c>
      <c r="C373" s="66" t="s">
        <v>431</v>
      </c>
      <c r="D373" s="66" t="s">
        <v>642</v>
      </c>
      <c r="E373" s="66" t="s">
        <v>77</v>
      </c>
      <c r="F373" s="67">
        <f>F374</f>
        <v>70856.800000000003</v>
      </c>
      <c r="G373" s="67">
        <f>G374</f>
        <v>61883.102440000002</v>
      </c>
      <c r="H373" s="67">
        <f>H374</f>
        <v>69856.800000000003</v>
      </c>
      <c r="I373" s="67">
        <f t="shared" si="74"/>
        <v>98.588702848562164</v>
      </c>
    </row>
    <row r="374" spans="1:9" s="118" customFormat="1">
      <c r="A374" s="65" t="s">
        <v>78</v>
      </c>
      <c r="B374" s="66" t="s">
        <v>376</v>
      </c>
      <c r="C374" s="66" t="s">
        <v>431</v>
      </c>
      <c r="D374" s="66" t="s">
        <v>642</v>
      </c>
      <c r="E374" s="66" t="s">
        <v>79</v>
      </c>
      <c r="F374" s="67">
        <f>72561.8-2000+3500-1000-1000-1205</f>
        <v>70856.800000000003</v>
      </c>
      <c r="G374" s="67">
        <v>61883.102440000002</v>
      </c>
      <c r="H374" s="67">
        <f>72561.8-2000+3500-1000-1000-1205-1000</f>
        <v>69856.800000000003</v>
      </c>
      <c r="I374" s="67">
        <f t="shared" si="74"/>
        <v>98.588702848562164</v>
      </c>
    </row>
    <row r="375" spans="1:9" s="118" customFormat="1">
      <c r="A375" s="65" t="s">
        <v>199</v>
      </c>
      <c r="B375" s="82" t="s">
        <v>376</v>
      </c>
      <c r="C375" s="82" t="s">
        <v>431</v>
      </c>
      <c r="D375" s="66" t="s">
        <v>642</v>
      </c>
      <c r="E375" s="66" t="s">
        <v>377</v>
      </c>
      <c r="F375" s="67">
        <f>F376</f>
        <v>4000</v>
      </c>
      <c r="G375" s="67">
        <f>G376</f>
        <v>910.72239999999999</v>
      </c>
      <c r="H375" s="67">
        <f>H376</f>
        <v>2000</v>
      </c>
      <c r="I375" s="67">
        <f t="shared" si="74"/>
        <v>50</v>
      </c>
    </row>
    <row r="376" spans="1:9" s="118" customFormat="1">
      <c r="A376" s="65" t="s">
        <v>378</v>
      </c>
      <c r="B376" s="66" t="s">
        <v>376</v>
      </c>
      <c r="C376" s="66" t="s">
        <v>431</v>
      </c>
      <c r="D376" s="66" t="s">
        <v>642</v>
      </c>
      <c r="E376" s="66" t="s">
        <v>379</v>
      </c>
      <c r="F376" s="67">
        <v>4000</v>
      </c>
      <c r="G376" s="67">
        <v>910.72239999999999</v>
      </c>
      <c r="H376" s="67">
        <v>2000</v>
      </c>
      <c r="I376" s="67">
        <f t="shared" si="74"/>
        <v>50</v>
      </c>
    </row>
    <row r="377" spans="1:9" s="118" customFormat="1">
      <c r="A377" s="58" t="s">
        <v>643</v>
      </c>
      <c r="B377" s="59" t="s">
        <v>376</v>
      </c>
      <c r="C377" s="59" t="s">
        <v>431</v>
      </c>
      <c r="D377" s="59" t="s">
        <v>644</v>
      </c>
      <c r="E377" s="59"/>
      <c r="F377" s="60">
        <f t="shared" ref="F377:H379" si="86">F378</f>
        <v>17310</v>
      </c>
      <c r="G377" s="314">
        <f t="shared" si="86"/>
        <v>0</v>
      </c>
      <c r="H377" s="60">
        <f t="shared" si="86"/>
        <v>0</v>
      </c>
      <c r="I377" s="60">
        <f t="shared" si="74"/>
        <v>0</v>
      </c>
    </row>
    <row r="378" spans="1:9" s="118" customFormat="1">
      <c r="A378" s="70" t="s">
        <v>645</v>
      </c>
      <c r="B378" s="66" t="s">
        <v>376</v>
      </c>
      <c r="C378" s="66" t="s">
        <v>431</v>
      </c>
      <c r="D378" s="71" t="s">
        <v>646</v>
      </c>
      <c r="E378" s="71"/>
      <c r="F378" s="72">
        <f t="shared" si="86"/>
        <v>17310</v>
      </c>
      <c r="G378" s="331">
        <f t="shared" si="86"/>
        <v>0</v>
      </c>
      <c r="H378" s="72">
        <f t="shared" si="86"/>
        <v>0</v>
      </c>
      <c r="I378" s="72">
        <f t="shared" si="74"/>
        <v>0</v>
      </c>
    </row>
    <row r="379" spans="1:9" s="118" customFormat="1">
      <c r="A379" s="65" t="s">
        <v>486</v>
      </c>
      <c r="B379" s="66" t="s">
        <v>376</v>
      </c>
      <c r="C379" s="66" t="s">
        <v>431</v>
      </c>
      <c r="D379" s="66" t="s">
        <v>646</v>
      </c>
      <c r="E379" s="66" t="s">
        <v>77</v>
      </c>
      <c r="F379" s="67">
        <f t="shared" si="86"/>
        <v>17310</v>
      </c>
      <c r="G379" s="279">
        <f t="shared" si="86"/>
        <v>0</v>
      </c>
      <c r="H379" s="67">
        <f t="shared" si="86"/>
        <v>0</v>
      </c>
      <c r="I379" s="67">
        <f t="shared" si="74"/>
        <v>0</v>
      </c>
    </row>
    <row r="380" spans="1:9" s="118" customFormat="1">
      <c r="A380" s="65" t="s">
        <v>78</v>
      </c>
      <c r="B380" s="66" t="s">
        <v>376</v>
      </c>
      <c r="C380" s="66" t="s">
        <v>431</v>
      </c>
      <c r="D380" s="66" t="s">
        <v>646</v>
      </c>
      <c r="E380" s="66" t="s">
        <v>79</v>
      </c>
      <c r="F380" s="67">
        <v>17310</v>
      </c>
      <c r="G380" s="279">
        <v>0</v>
      </c>
      <c r="H380" s="67">
        <v>0</v>
      </c>
      <c r="I380" s="67">
        <f t="shared" si="74"/>
        <v>0</v>
      </c>
    </row>
    <row r="381" spans="1:9" s="118" customFormat="1">
      <c r="A381" s="58" t="s">
        <v>392</v>
      </c>
      <c r="B381" s="59" t="s">
        <v>376</v>
      </c>
      <c r="C381" s="59" t="s">
        <v>431</v>
      </c>
      <c r="D381" s="59" t="s">
        <v>114</v>
      </c>
      <c r="E381" s="59"/>
      <c r="F381" s="60">
        <f t="shared" ref="F381:H383" si="87">F382</f>
        <v>5000</v>
      </c>
      <c r="G381" s="314">
        <f t="shared" si="87"/>
        <v>0</v>
      </c>
      <c r="H381" s="60">
        <f t="shared" si="87"/>
        <v>2000</v>
      </c>
      <c r="I381" s="60">
        <f t="shared" si="74"/>
        <v>40</v>
      </c>
    </row>
    <row r="382" spans="1:9" s="118" customFormat="1">
      <c r="A382" s="70" t="s">
        <v>647</v>
      </c>
      <c r="B382" s="71" t="s">
        <v>376</v>
      </c>
      <c r="C382" s="71" t="s">
        <v>431</v>
      </c>
      <c r="D382" s="71" t="s">
        <v>648</v>
      </c>
      <c r="E382" s="71"/>
      <c r="F382" s="72">
        <f t="shared" si="87"/>
        <v>5000</v>
      </c>
      <c r="G382" s="331">
        <f t="shared" si="87"/>
        <v>0</v>
      </c>
      <c r="H382" s="72">
        <f t="shared" si="87"/>
        <v>2000</v>
      </c>
      <c r="I382" s="72">
        <f t="shared" si="74"/>
        <v>40</v>
      </c>
    </row>
    <row r="383" spans="1:9" s="118" customFormat="1">
      <c r="A383" s="65" t="s">
        <v>486</v>
      </c>
      <c r="B383" s="66" t="s">
        <v>376</v>
      </c>
      <c r="C383" s="66" t="s">
        <v>431</v>
      </c>
      <c r="D383" s="66" t="s">
        <v>648</v>
      </c>
      <c r="E383" s="66" t="s">
        <v>77</v>
      </c>
      <c r="F383" s="67">
        <f t="shared" si="87"/>
        <v>5000</v>
      </c>
      <c r="G383" s="279">
        <f t="shared" si="87"/>
        <v>0</v>
      </c>
      <c r="H383" s="67">
        <f t="shared" si="87"/>
        <v>2000</v>
      </c>
      <c r="I383" s="67">
        <f t="shared" si="74"/>
        <v>40</v>
      </c>
    </row>
    <row r="384" spans="1:9" s="118" customFormat="1">
      <c r="A384" s="65" t="s">
        <v>78</v>
      </c>
      <c r="B384" s="66" t="s">
        <v>376</v>
      </c>
      <c r="C384" s="66" t="s">
        <v>431</v>
      </c>
      <c r="D384" s="66" t="s">
        <v>648</v>
      </c>
      <c r="E384" s="66" t="s">
        <v>79</v>
      </c>
      <c r="F384" s="67">
        <f>5000</f>
        <v>5000</v>
      </c>
      <c r="G384" s="279">
        <v>0</v>
      </c>
      <c r="H384" s="67">
        <f>5000-3000</f>
        <v>2000</v>
      </c>
      <c r="I384" s="67">
        <f t="shared" si="74"/>
        <v>40</v>
      </c>
    </row>
    <row r="385" spans="1:9" s="118" customFormat="1" ht="27">
      <c r="A385" s="69" t="s">
        <v>674</v>
      </c>
      <c r="B385" s="61" t="s">
        <v>376</v>
      </c>
      <c r="C385" s="61" t="s">
        <v>431</v>
      </c>
      <c r="D385" s="61" t="s">
        <v>243</v>
      </c>
      <c r="E385" s="61"/>
      <c r="F385" s="62">
        <f>F386+F389+F392+F395+F398</f>
        <v>63595.710939999997</v>
      </c>
      <c r="G385" s="62">
        <f t="shared" ref="G385:H385" si="88">G386+G389+G392+G395+G398</f>
        <v>13078.51261</v>
      </c>
      <c r="H385" s="62">
        <f t="shared" si="88"/>
        <v>42095.710939999997</v>
      </c>
      <c r="I385" s="62">
        <f t="shared" si="74"/>
        <v>66.192688654295594</v>
      </c>
    </row>
    <row r="386" spans="1:9" s="118" customFormat="1">
      <c r="A386" s="85" t="s">
        <v>120</v>
      </c>
      <c r="B386" s="59" t="s">
        <v>376</v>
      </c>
      <c r="C386" s="59" t="s">
        <v>431</v>
      </c>
      <c r="D386" s="59" t="s">
        <v>612</v>
      </c>
      <c r="E386" s="66"/>
      <c r="F386" s="78">
        <f t="shared" ref="F386:H387" si="89">F387</f>
        <v>6190.2939999999999</v>
      </c>
      <c r="G386" s="78">
        <f t="shared" si="89"/>
        <v>198.81326999999999</v>
      </c>
      <c r="H386" s="78">
        <f t="shared" si="89"/>
        <v>4190.2939999999999</v>
      </c>
      <c r="I386" s="78">
        <f t="shared" si="74"/>
        <v>67.691356824086228</v>
      </c>
    </row>
    <row r="387" spans="1:9" s="118" customFormat="1">
      <c r="A387" s="65" t="s">
        <v>199</v>
      </c>
      <c r="B387" s="66" t="s">
        <v>376</v>
      </c>
      <c r="C387" s="66" t="s">
        <v>431</v>
      </c>
      <c r="D387" s="66" t="s">
        <v>612</v>
      </c>
      <c r="E387" s="66" t="s">
        <v>377</v>
      </c>
      <c r="F387" s="79">
        <f t="shared" si="89"/>
        <v>6190.2939999999999</v>
      </c>
      <c r="G387" s="79">
        <f t="shared" si="89"/>
        <v>198.81326999999999</v>
      </c>
      <c r="H387" s="79">
        <f t="shared" si="89"/>
        <v>4190.2939999999999</v>
      </c>
      <c r="I387" s="79">
        <f t="shared" si="74"/>
        <v>67.691356824086228</v>
      </c>
    </row>
    <row r="388" spans="1:9" s="118" customFormat="1">
      <c r="A388" s="65" t="s">
        <v>378</v>
      </c>
      <c r="B388" s="66" t="s">
        <v>376</v>
      </c>
      <c r="C388" s="66" t="s">
        <v>431</v>
      </c>
      <c r="D388" s="66" t="s">
        <v>612</v>
      </c>
      <c r="E388" s="66" t="s">
        <v>379</v>
      </c>
      <c r="F388" s="79">
        <f>13000-400-9000+2590.294</f>
        <v>6190.2939999999999</v>
      </c>
      <c r="G388" s="79">
        <v>198.81326999999999</v>
      </c>
      <c r="H388" s="79">
        <f>13000-400-9000+2590.294-2000</f>
        <v>4190.2939999999999</v>
      </c>
      <c r="I388" s="79">
        <f t="shared" si="74"/>
        <v>67.691356824086228</v>
      </c>
    </row>
    <row r="389" spans="1:9" s="118" customFormat="1">
      <c r="A389" s="58" t="s">
        <v>201</v>
      </c>
      <c r="B389" s="59" t="s">
        <v>376</v>
      </c>
      <c r="C389" s="59" t="s">
        <v>431</v>
      </c>
      <c r="D389" s="59" t="s">
        <v>614</v>
      </c>
      <c r="E389" s="59"/>
      <c r="F389" s="78">
        <f t="shared" ref="F389:H390" si="90">F390</f>
        <v>12879.7</v>
      </c>
      <c r="G389" s="78">
        <f t="shared" si="90"/>
        <v>12879.699339999999</v>
      </c>
      <c r="H389" s="78">
        <f t="shared" si="90"/>
        <v>12879.7</v>
      </c>
      <c r="I389" s="78">
        <f t="shared" ref="I389:I440" si="91">H389/F389*100</f>
        <v>100</v>
      </c>
    </row>
    <row r="390" spans="1:9" s="118" customFormat="1">
      <c r="A390" s="65" t="s">
        <v>199</v>
      </c>
      <c r="B390" s="66" t="s">
        <v>376</v>
      </c>
      <c r="C390" s="66" t="s">
        <v>431</v>
      </c>
      <c r="D390" s="66" t="s">
        <v>614</v>
      </c>
      <c r="E390" s="66" t="s">
        <v>377</v>
      </c>
      <c r="F390" s="79">
        <f t="shared" si="90"/>
        <v>12879.7</v>
      </c>
      <c r="G390" s="79">
        <f t="shared" si="90"/>
        <v>12879.699339999999</v>
      </c>
      <c r="H390" s="79">
        <f t="shared" si="90"/>
        <v>12879.7</v>
      </c>
      <c r="I390" s="79">
        <f t="shared" si="91"/>
        <v>100</v>
      </c>
    </row>
    <row r="391" spans="1:9" s="118" customFormat="1">
      <c r="A391" s="65" t="s">
        <v>378</v>
      </c>
      <c r="B391" s="66" t="s">
        <v>376</v>
      </c>
      <c r="C391" s="66" t="s">
        <v>431</v>
      </c>
      <c r="D391" s="66" t="s">
        <v>614</v>
      </c>
      <c r="E391" s="66" t="s">
        <v>379</v>
      </c>
      <c r="F391" s="79">
        <v>12879.7</v>
      </c>
      <c r="G391" s="79">
        <v>12879.699339999999</v>
      </c>
      <c r="H391" s="79">
        <v>12879.7</v>
      </c>
      <c r="I391" s="79">
        <f t="shared" si="91"/>
        <v>100</v>
      </c>
    </row>
    <row r="392" spans="1:9" s="118" customFormat="1">
      <c r="A392" s="58" t="s">
        <v>615</v>
      </c>
      <c r="B392" s="59" t="s">
        <v>376</v>
      </c>
      <c r="C392" s="59" t="s">
        <v>431</v>
      </c>
      <c r="D392" s="59" t="s">
        <v>616</v>
      </c>
      <c r="E392" s="59"/>
      <c r="F392" s="78">
        <f t="shared" ref="F392:H393" si="92">F393</f>
        <v>9525.7169400000002</v>
      </c>
      <c r="G392" s="78">
        <f t="shared" si="92"/>
        <v>0</v>
      </c>
      <c r="H392" s="78">
        <f t="shared" si="92"/>
        <v>25.71694000000025</v>
      </c>
      <c r="I392" s="78">
        <f t="shared" si="91"/>
        <v>0.2699737999983049</v>
      </c>
    </row>
    <row r="393" spans="1:9" s="118" customFormat="1">
      <c r="A393" s="65" t="s">
        <v>199</v>
      </c>
      <c r="B393" s="66" t="s">
        <v>376</v>
      </c>
      <c r="C393" s="66" t="s">
        <v>431</v>
      </c>
      <c r="D393" s="66" t="s">
        <v>616</v>
      </c>
      <c r="E393" s="66" t="s">
        <v>377</v>
      </c>
      <c r="F393" s="79">
        <f t="shared" si="92"/>
        <v>9525.7169400000002</v>
      </c>
      <c r="G393" s="79">
        <f t="shared" si="92"/>
        <v>0</v>
      </c>
      <c r="H393" s="79">
        <f t="shared" si="92"/>
        <v>25.71694000000025</v>
      </c>
      <c r="I393" s="79">
        <f t="shared" si="91"/>
        <v>0.2699737999983049</v>
      </c>
    </row>
    <row r="394" spans="1:9" s="118" customFormat="1">
      <c r="A394" s="65" t="s">
        <v>378</v>
      </c>
      <c r="B394" s="66" t="s">
        <v>376</v>
      </c>
      <c r="C394" s="66" t="s">
        <v>431</v>
      </c>
      <c r="D394" s="66" t="s">
        <v>616</v>
      </c>
      <c r="E394" s="66" t="s">
        <v>379</v>
      </c>
      <c r="F394" s="79">
        <f>10000-474.28306</f>
        <v>9525.7169400000002</v>
      </c>
      <c r="G394" s="79">
        <v>0</v>
      </c>
      <c r="H394" s="79">
        <f>10000-474.28306-9500</f>
        <v>25.71694000000025</v>
      </c>
      <c r="I394" s="79">
        <f t="shared" si="91"/>
        <v>0.2699737999983049</v>
      </c>
    </row>
    <row r="395" spans="1:9" s="209" customFormat="1">
      <c r="A395" s="133" t="s">
        <v>766</v>
      </c>
      <c r="B395" s="132" t="s">
        <v>376</v>
      </c>
      <c r="C395" s="132" t="s">
        <v>431</v>
      </c>
      <c r="D395" s="132" t="s">
        <v>767</v>
      </c>
      <c r="E395" s="132"/>
      <c r="F395" s="196">
        <f t="shared" ref="F395:H396" si="93">F396</f>
        <v>30000</v>
      </c>
      <c r="G395" s="196">
        <f t="shared" si="93"/>
        <v>0</v>
      </c>
      <c r="H395" s="196">
        <f t="shared" si="93"/>
        <v>25000</v>
      </c>
      <c r="I395" s="196">
        <f t="shared" si="91"/>
        <v>83.333333333333343</v>
      </c>
    </row>
    <row r="396" spans="1:9" s="209" customFormat="1">
      <c r="A396" s="131" t="s">
        <v>486</v>
      </c>
      <c r="B396" s="22" t="s">
        <v>376</v>
      </c>
      <c r="C396" s="22" t="s">
        <v>431</v>
      </c>
      <c r="D396" s="22" t="s">
        <v>767</v>
      </c>
      <c r="E396" s="22" t="s">
        <v>77</v>
      </c>
      <c r="F396" s="176">
        <f t="shared" si="93"/>
        <v>30000</v>
      </c>
      <c r="G396" s="176">
        <f t="shared" si="93"/>
        <v>0</v>
      </c>
      <c r="H396" s="176">
        <f t="shared" si="93"/>
        <v>25000</v>
      </c>
      <c r="I396" s="176">
        <f t="shared" si="91"/>
        <v>83.333333333333343</v>
      </c>
    </row>
    <row r="397" spans="1:9" s="209" customFormat="1">
      <c r="A397" s="131" t="s">
        <v>78</v>
      </c>
      <c r="B397" s="22" t="s">
        <v>376</v>
      </c>
      <c r="C397" s="22" t="s">
        <v>431</v>
      </c>
      <c r="D397" s="22" t="s">
        <v>767</v>
      </c>
      <c r="E397" s="22" t="s">
        <v>79</v>
      </c>
      <c r="F397" s="176">
        <v>30000</v>
      </c>
      <c r="G397" s="176">
        <v>0</v>
      </c>
      <c r="H397" s="176">
        <v>25000</v>
      </c>
      <c r="I397" s="176">
        <f t="shared" si="91"/>
        <v>83.333333333333343</v>
      </c>
    </row>
    <row r="398" spans="1:9" s="209" customFormat="1">
      <c r="A398" s="133" t="s">
        <v>790</v>
      </c>
      <c r="B398" s="132" t="s">
        <v>376</v>
      </c>
      <c r="C398" s="132" t="s">
        <v>431</v>
      </c>
      <c r="D398" s="132" t="s">
        <v>789</v>
      </c>
      <c r="E398" s="132"/>
      <c r="F398" s="196">
        <f t="shared" ref="F398:H399" si="94">F399</f>
        <v>5000</v>
      </c>
      <c r="G398" s="196">
        <f t="shared" si="94"/>
        <v>0</v>
      </c>
      <c r="H398" s="196">
        <f t="shared" si="94"/>
        <v>0</v>
      </c>
      <c r="I398" s="196">
        <f t="shared" si="91"/>
        <v>0</v>
      </c>
    </row>
    <row r="399" spans="1:9" s="209" customFormat="1">
      <c r="A399" s="131" t="s">
        <v>486</v>
      </c>
      <c r="B399" s="22" t="s">
        <v>376</v>
      </c>
      <c r="C399" s="22" t="s">
        <v>431</v>
      </c>
      <c r="D399" s="22" t="s">
        <v>789</v>
      </c>
      <c r="E399" s="22" t="s">
        <v>77</v>
      </c>
      <c r="F399" s="176">
        <f t="shared" si="94"/>
        <v>5000</v>
      </c>
      <c r="G399" s="176">
        <f t="shared" si="94"/>
        <v>0</v>
      </c>
      <c r="H399" s="176">
        <f t="shared" si="94"/>
        <v>0</v>
      </c>
      <c r="I399" s="176">
        <f t="shared" si="91"/>
        <v>0</v>
      </c>
    </row>
    <row r="400" spans="1:9" s="209" customFormat="1">
      <c r="A400" s="131" t="s">
        <v>78</v>
      </c>
      <c r="B400" s="22" t="s">
        <v>376</v>
      </c>
      <c r="C400" s="22" t="s">
        <v>431</v>
      </c>
      <c r="D400" s="22" t="s">
        <v>789</v>
      </c>
      <c r="E400" s="22" t="s">
        <v>79</v>
      </c>
      <c r="F400" s="176">
        <v>5000</v>
      </c>
      <c r="G400" s="176">
        <v>0</v>
      </c>
      <c r="H400" s="176">
        <v>0</v>
      </c>
      <c r="I400" s="176">
        <f t="shared" si="91"/>
        <v>0</v>
      </c>
    </row>
    <row r="401" spans="1:9" s="118" customFormat="1">
      <c r="A401" s="58" t="s">
        <v>336</v>
      </c>
      <c r="B401" s="59" t="s">
        <v>376</v>
      </c>
      <c r="C401" s="59" t="s">
        <v>423</v>
      </c>
      <c r="D401" s="59"/>
      <c r="E401" s="59"/>
      <c r="F401" s="60">
        <f>F402+F433+F444+F454+F461</f>
        <v>848303.33726000006</v>
      </c>
      <c r="G401" s="60">
        <f>G402+G433+G444+G454+G461</f>
        <v>636906.28823999991</v>
      </c>
      <c r="H401" s="60">
        <f>H402+H433+H444+H454+H461</f>
        <v>826302.83726000006</v>
      </c>
      <c r="I401" s="60">
        <f t="shared" si="91"/>
        <v>97.4065291230539</v>
      </c>
    </row>
    <row r="402" spans="1:9" s="118" customFormat="1" ht="13.5">
      <c r="A402" s="69" t="s">
        <v>671</v>
      </c>
      <c r="B402" s="61" t="s">
        <v>376</v>
      </c>
      <c r="C402" s="61" t="s">
        <v>423</v>
      </c>
      <c r="D402" s="93" t="s">
        <v>225</v>
      </c>
      <c r="E402" s="61"/>
      <c r="F402" s="62">
        <f>F403+F406+F409+F412+F415+F418+F421+F424+F427+F430</f>
        <v>392868.2</v>
      </c>
      <c r="G402" s="62">
        <f t="shared" ref="G402:H402" si="95">G403+G406+G409+G412+G415+G418+G421+G424+G427+G430</f>
        <v>298830.30949999997</v>
      </c>
      <c r="H402" s="62">
        <f t="shared" si="95"/>
        <v>386868.2</v>
      </c>
      <c r="I402" s="62">
        <f t="shared" si="91"/>
        <v>98.472770257302571</v>
      </c>
    </row>
    <row r="403" spans="1:9" s="118" customFormat="1">
      <c r="A403" s="85" t="s">
        <v>491</v>
      </c>
      <c r="B403" s="59" t="s">
        <v>376</v>
      </c>
      <c r="C403" s="59" t="s">
        <v>423</v>
      </c>
      <c r="D403" s="59" t="s">
        <v>601</v>
      </c>
      <c r="E403" s="59"/>
      <c r="F403" s="60">
        <f t="shared" ref="F403:H404" si="96">F404</f>
        <v>16800</v>
      </c>
      <c r="G403" s="60">
        <f t="shared" si="96"/>
        <v>7419.6350000000002</v>
      </c>
      <c r="H403" s="60">
        <f t="shared" si="96"/>
        <v>11800</v>
      </c>
      <c r="I403" s="60">
        <f t="shared" si="91"/>
        <v>70.238095238095227</v>
      </c>
    </row>
    <row r="404" spans="1:9" s="118" customFormat="1">
      <c r="A404" s="65" t="s">
        <v>486</v>
      </c>
      <c r="B404" s="66" t="s">
        <v>376</v>
      </c>
      <c r="C404" s="66" t="s">
        <v>423</v>
      </c>
      <c r="D404" s="66" t="s">
        <v>601</v>
      </c>
      <c r="E404" s="66" t="s">
        <v>77</v>
      </c>
      <c r="F404" s="67">
        <f t="shared" si="96"/>
        <v>16800</v>
      </c>
      <c r="G404" s="67">
        <f t="shared" si="96"/>
        <v>7419.6350000000002</v>
      </c>
      <c r="H404" s="67">
        <f t="shared" si="96"/>
        <v>11800</v>
      </c>
      <c r="I404" s="67">
        <f t="shared" si="91"/>
        <v>70.238095238095227</v>
      </c>
    </row>
    <row r="405" spans="1:9" s="118" customFormat="1">
      <c r="A405" s="65" t="s">
        <v>78</v>
      </c>
      <c r="B405" s="66" t="s">
        <v>376</v>
      </c>
      <c r="C405" s="66" t="s">
        <v>423</v>
      </c>
      <c r="D405" s="66" t="s">
        <v>601</v>
      </c>
      <c r="E405" s="66" t="s">
        <v>79</v>
      </c>
      <c r="F405" s="67">
        <f>15000-3000+4800</f>
        <v>16800</v>
      </c>
      <c r="G405" s="67">
        <v>7419.6350000000002</v>
      </c>
      <c r="H405" s="67">
        <f>15000-3000+4800-5000</f>
        <v>11800</v>
      </c>
      <c r="I405" s="67">
        <f t="shared" si="91"/>
        <v>70.238095238095227</v>
      </c>
    </row>
    <row r="406" spans="1:9" s="118" customFormat="1">
      <c r="A406" s="58" t="s">
        <v>492</v>
      </c>
      <c r="B406" s="59" t="s">
        <v>376</v>
      </c>
      <c r="C406" s="59" t="s">
        <v>423</v>
      </c>
      <c r="D406" s="59" t="s">
        <v>602</v>
      </c>
      <c r="E406" s="59"/>
      <c r="F406" s="60">
        <f t="shared" ref="F406:H407" si="97">F407</f>
        <v>1000</v>
      </c>
      <c r="G406" s="314">
        <f t="shared" si="97"/>
        <v>0</v>
      </c>
      <c r="H406" s="314">
        <f t="shared" si="97"/>
        <v>0</v>
      </c>
      <c r="I406" s="60">
        <f t="shared" si="91"/>
        <v>0</v>
      </c>
    </row>
    <row r="407" spans="1:9" s="118" customFormat="1">
      <c r="A407" s="65" t="s">
        <v>486</v>
      </c>
      <c r="B407" s="66" t="s">
        <v>376</v>
      </c>
      <c r="C407" s="66" t="s">
        <v>423</v>
      </c>
      <c r="D407" s="66" t="s">
        <v>602</v>
      </c>
      <c r="E407" s="66" t="s">
        <v>77</v>
      </c>
      <c r="F407" s="67">
        <f t="shared" si="97"/>
        <v>1000</v>
      </c>
      <c r="G407" s="279">
        <f t="shared" si="97"/>
        <v>0</v>
      </c>
      <c r="H407" s="279">
        <f t="shared" si="97"/>
        <v>0</v>
      </c>
      <c r="I407" s="67">
        <f t="shared" si="91"/>
        <v>0</v>
      </c>
    </row>
    <row r="408" spans="1:9" s="118" customFormat="1">
      <c r="A408" s="65" t="s">
        <v>78</v>
      </c>
      <c r="B408" s="66" t="s">
        <v>376</v>
      </c>
      <c r="C408" s="66" t="s">
        <v>423</v>
      </c>
      <c r="D408" s="66" t="s">
        <v>602</v>
      </c>
      <c r="E408" s="66" t="s">
        <v>79</v>
      </c>
      <c r="F408" s="67">
        <f>3000-2000</f>
        <v>1000</v>
      </c>
      <c r="G408" s="279">
        <v>0</v>
      </c>
      <c r="H408" s="279">
        <v>0</v>
      </c>
      <c r="I408" s="67">
        <f t="shared" si="91"/>
        <v>0</v>
      </c>
    </row>
    <row r="409" spans="1:9" s="118" customFormat="1">
      <c r="A409" s="58" t="s">
        <v>493</v>
      </c>
      <c r="B409" s="59" t="s">
        <v>376</v>
      </c>
      <c r="C409" s="59" t="s">
        <v>423</v>
      </c>
      <c r="D409" s="59" t="s">
        <v>603</v>
      </c>
      <c r="E409" s="59"/>
      <c r="F409" s="78">
        <f t="shared" ref="F409:H410" si="98">F410</f>
        <v>1000</v>
      </c>
      <c r="G409" s="78">
        <f t="shared" si="98"/>
        <v>1000</v>
      </c>
      <c r="H409" s="78">
        <f t="shared" si="98"/>
        <v>1000</v>
      </c>
      <c r="I409" s="78">
        <f t="shared" si="91"/>
        <v>100</v>
      </c>
    </row>
    <row r="410" spans="1:9" s="118" customFormat="1">
      <c r="A410" s="65" t="s">
        <v>486</v>
      </c>
      <c r="B410" s="66" t="s">
        <v>376</v>
      </c>
      <c r="C410" s="66" t="s">
        <v>423</v>
      </c>
      <c r="D410" s="66" t="s">
        <v>603</v>
      </c>
      <c r="E410" s="66" t="s">
        <v>77</v>
      </c>
      <c r="F410" s="79">
        <f t="shared" si="98"/>
        <v>1000</v>
      </c>
      <c r="G410" s="79">
        <f t="shared" si="98"/>
        <v>1000</v>
      </c>
      <c r="H410" s="79">
        <f t="shared" si="98"/>
        <v>1000</v>
      </c>
      <c r="I410" s="79">
        <f t="shared" si="91"/>
        <v>100</v>
      </c>
    </row>
    <row r="411" spans="1:9" s="118" customFormat="1">
      <c r="A411" s="65" t="s">
        <v>78</v>
      </c>
      <c r="B411" s="66" t="s">
        <v>376</v>
      </c>
      <c r="C411" s="66" t="s">
        <v>423</v>
      </c>
      <c r="D411" s="66" t="s">
        <v>603</v>
      </c>
      <c r="E411" s="66" t="s">
        <v>79</v>
      </c>
      <c r="F411" s="79">
        <v>1000</v>
      </c>
      <c r="G411" s="79">
        <v>1000</v>
      </c>
      <c r="H411" s="79">
        <v>1000</v>
      </c>
      <c r="I411" s="79">
        <f t="shared" si="91"/>
        <v>100</v>
      </c>
    </row>
    <row r="412" spans="1:9" s="118" customFormat="1">
      <c r="A412" s="58" t="s">
        <v>312</v>
      </c>
      <c r="B412" s="59" t="s">
        <v>376</v>
      </c>
      <c r="C412" s="59" t="s">
        <v>423</v>
      </c>
      <c r="D412" s="59" t="s">
        <v>604</v>
      </c>
      <c r="E412" s="59"/>
      <c r="F412" s="60">
        <f t="shared" ref="F412:H413" si="99">F413</f>
        <v>2000</v>
      </c>
      <c r="G412" s="60">
        <f t="shared" si="99"/>
        <v>907.47400000000005</v>
      </c>
      <c r="H412" s="60">
        <f t="shared" si="99"/>
        <v>2000</v>
      </c>
      <c r="I412" s="60">
        <f t="shared" si="91"/>
        <v>100</v>
      </c>
    </row>
    <row r="413" spans="1:9" s="118" customFormat="1">
      <c r="A413" s="65" t="s">
        <v>486</v>
      </c>
      <c r="B413" s="66" t="s">
        <v>376</v>
      </c>
      <c r="C413" s="66" t="s">
        <v>423</v>
      </c>
      <c r="D413" s="66" t="s">
        <v>604</v>
      </c>
      <c r="E413" s="66" t="s">
        <v>77</v>
      </c>
      <c r="F413" s="67">
        <f t="shared" si="99"/>
        <v>2000</v>
      </c>
      <c r="G413" s="67">
        <f t="shared" si="99"/>
        <v>907.47400000000005</v>
      </c>
      <c r="H413" s="67">
        <f t="shared" si="99"/>
        <v>2000</v>
      </c>
      <c r="I413" s="67">
        <f t="shared" si="91"/>
        <v>100</v>
      </c>
    </row>
    <row r="414" spans="1:9" s="118" customFormat="1">
      <c r="A414" s="65" t="s">
        <v>78</v>
      </c>
      <c r="B414" s="66" t="s">
        <v>376</v>
      </c>
      <c r="C414" s="66" t="s">
        <v>423</v>
      </c>
      <c r="D414" s="66" t="s">
        <v>604</v>
      </c>
      <c r="E414" s="66" t="s">
        <v>79</v>
      </c>
      <c r="F414" s="67">
        <v>2000</v>
      </c>
      <c r="G414" s="67">
        <v>907.47400000000005</v>
      </c>
      <c r="H414" s="67">
        <v>2000</v>
      </c>
      <c r="I414" s="67">
        <f t="shared" si="91"/>
        <v>100</v>
      </c>
    </row>
    <row r="415" spans="1:9" s="118" customFormat="1" ht="24">
      <c r="A415" s="85" t="s">
        <v>303</v>
      </c>
      <c r="B415" s="59" t="s">
        <v>376</v>
      </c>
      <c r="C415" s="59" t="s">
        <v>423</v>
      </c>
      <c r="D415" s="59" t="s">
        <v>605</v>
      </c>
      <c r="E415" s="59"/>
      <c r="F415" s="60">
        <f t="shared" ref="F415:H416" si="100">F416</f>
        <v>11647.64</v>
      </c>
      <c r="G415" s="60">
        <f t="shared" si="100"/>
        <v>9372.491</v>
      </c>
      <c r="H415" s="60">
        <f t="shared" si="100"/>
        <v>11647.64</v>
      </c>
      <c r="I415" s="60">
        <f t="shared" si="91"/>
        <v>100</v>
      </c>
    </row>
    <row r="416" spans="1:9" s="118" customFormat="1">
      <c r="A416" s="65" t="s">
        <v>486</v>
      </c>
      <c r="B416" s="66" t="s">
        <v>376</v>
      </c>
      <c r="C416" s="66" t="s">
        <v>423</v>
      </c>
      <c r="D416" s="66" t="s">
        <v>605</v>
      </c>
      <c r="E416" s="66" t="s">
        <v>77</v>
      </c>
      <c r="F416" s="67">
        <f t="shared" si="100"/>
        <v>11647.64</v>
      </c>
      <c r="G416" s="67">
        <f t="shared" si="100"/>
        <v>9372.491</v>
      </c>
      <c r="H416" s="67">
        <f t="shared" si="100"/>
        <v>11647.64</v>
      </c>
      <c r="I416" s="67">
        <f t="shared" si="91"/>
        <v>100</v>
      </c>
    </row>
    <row r="417" spans="1:9" s="118" customFormat="1">
      <c r="A417" s="65" t="s">
        <v>78</v>
      </c>
      <c r="B417" s="66" t="s">
        <v>376</v>
      </c>
      <c r="C417" s="66" t="s">
        <v>423</v>
      </c>
      <c r="D417" s="66" t="s">
        <v>605</v>
      </c>
      <c r="E417" s="66" t="s">
        <v>79</v>
      </c>
      <c r="F417" s="67">
        <f>2000+2647.64+7000</f>
        <v>11647.64</v>
      </c>
      <c r="G417" s="67">
        <v>9372.491</v>
      </c>
      <c r="H417" s="67">
        <f>2000+2647.64+7000</f>
        <v>11647.64</v>
      </c>
      <c r="I417" s="67">
        <f t="shared" si="91"/>
        <v>100</v>
      </c>
    </row>
    <row r="418" spans="1:9" s="118" customFormat="1">
      <c r="A418" s="85" t="s">
        <v>304</v>
      </c>
      <c r="B418" s="59" t="s">
        <v>376</v>
      </c>
      <c r="C418" s="59" t="s">
        <v>423</v>
      </c>
      <c r="D418" s="94" t="s">
        <v>606</v>
      </c>
      <c r="E418" s="94"/>
      <c r="F418" s="60">
        <f t="shared" ref="F418:H419" si="101">F419</f>
        <v>1500</v>
      </c>
      <c r="G418" s="60">
        <f t="shared" si="101"/>
        <v>250</v>
      </c>
      <c r="H418" s="60">
        <f t="shared" si="101"/>
        <v>1500</v>
      </c>
      <c r="I418" s="60">
        <f t="shared" si="91"/>
        <v>100</v>
      </c>
    </row>
    <row r="419" spans="1:9" s="118" customFormat="1">
      <c r="A419" s="65" t="s">
        <v>486</v>
      </c>
      <c r="B419" s="66" t="s">
        <v>376</v>
      </c>
      <c r="C419" s="66" t="s">
        <v>423</v>
      </c>
      <c r="D419" s="81" t="s">
        <v>606</v>
      </c>
      <c r="E419" s="66" t="s">
        <v>77</v>
      </c>
      <c r="F419" s="67">
        <f t="shared" si="101"/>
        <v>1500</v>
      </c>
      <c r="G419" s="67">
        <f t="shared" si="101"/>
        <v>250</v>
      </c>
      <c r="H419" s="67">
        <f t="shared" si="101"/>
        <v>1500</v>
      </c>
      <c r="I419" s="67">
        <f t="shared" si="91"/>
        <v>100</v>
      </c>
    </row>
    <row r="420" spans="1:9" s="118" customFormat="1">
      <c r="A420" s="65" t="s">
        <v>78</v>
      </c>
      <c r="B420" s="66" t="s">
        <v>376</v>
      </c>
      <c r="C420" s="66" t="s">
        <v>423</v>
      </c>
      <c r="D420" s="81" t="s">
        <v>606</v>
      </c>
      <c r="E420" s="66" t="s">
        <v>79</v>
      </c>
      <c r="F420" s="67">
        <f>2000-500</f>
        <v>1500</v>
      </c>
      <c r="G420" s="67">
        <v>250</v>
      </c>
      <c r="H420" s="67">
        <f>2000-500</f>
        <v>1500</v>
      </c>
      <c r="I420" s="67">
        <f t="shared" si="91"/>
        <v>100</v>
      </c>
    </row>
    <row r="421" spans="1:9" s="118" customFormat="1">
      <c r="A421" s="58" t="s">
        <v>214</v>
      </c>
      <c r="B421" s="59" t="s">
        <v>376</v>
      </c>
      <c r="C421" s="59" t="s">
        <v>423</v>
      </c>
      <c r="D421" s="59" t="s">
        <v>607</v>
      </c>
      <c r="E421" s="59"/>
      <c r="F421" s="60">
        <f t="shared" ref="F421:H422" si="102">F422</f>
        <v>89000</v>
      </c>
      <c r="G421" s="60">
        <f t="shared" si="102"/>
        <v>71946.197</v>
      </c>
      <c r="H421" s="60">
        <f t="shared" si="102"/>
        <v>89000</v>
      </c>
      <c r="I421" s="60">
        <f t="shared" si="91"/>
        <v>100</v>
      </c>
    </row>
    <row r="422" spans="1:9" s="118" customFormat="1">
      <c r="A422" s="65" t="s">
        <v>486</v>
      </c>
      <c r="B422" s="66" t="s">
        <v>376</v>
      </c>
      <c r="C422" s="66" t="s">
        <v>423</v>
      </c>
      <c r="D422" s="66" t="s">
        <v>607</v>
      </c>
      <c r="E422" s="66" t="s">
        <v>77</v>
      </c>
      <c r="F422" s="67">
        <f t="shared" si="102"/>
        <v>89000</v>
      </c>
      <c r="G422" s="67">
        <f t="shared" si="102"/>
        <v>71946.197</v>
      </c>
      <c r="H422" s="67">
        <f t="shared" si="102"/>
        <v>89000</v>
      </c>
      <c r="I422" s="67">
        <f t="shared" si="91"/>
        <v>100</v>
      </c>
    </row>
    <row r="423" spans="1:9" s="118" customFormat="1">
      <c r="A423" s="65" t="s">
        <v>78</v>
      </c>
      <c r="B423" s="66" t="s">
        <v>376</v>
      </c>
      <c r="C423" s="66" t="s">
        <v>423</v>
      </c>
      <c r="D423" s="66" t="s">
        <v>607</v>
      </c>
      <c r="E423" s="66" t="s">
        <v>79</v>
      </c>
      <c r="F423" s="67">
        <f>85000+4000</f>
        <v>89000</v>
      </c>
      <c r="G423" s="67">
        <v>71946.197</v>
      </c>
      <c r="H423" s="67">
        <f>85000+4000</f>
        <v>89000</v>
      </c>
      <c r="I423" s="67">
        <f t="shared" si="91"/>
        <v>100</v>
      </c>
    </row>
    <row r="424" spans="1:9" s="118" customFormat="1">
      <c r="A424" s="58" t="s">
        <v>305</v>
      </c>
      <c r="B424" s="59" t="s">
        <v>376</v>
      </c>
      <c r="C424" s="59" t="s">
        <v>423</v>
      </c>
      <c r="D424" s="59" t="s">
        <v>608</v>
      </c>
      <c r="E424" s="59"/>
      <c r="F424" s="60">
        <f t="shared" ref="F424:H425" si="103">F425</f>
        <v>1852.3600000000001</v>
      </c>
      <c r="G424" s="60">
        <f t="shared" si="103"/>
        <v>1852.36</v>
      </c>
      <c r="H424" s="60">
        <f t="shared" si="103"/>
        <v>1852.3600000000001</v>
      </c>
      <c r="I424" s="60">
        <f t="shared" si="91"/>
        <v>100</v>
      </c>
    </row>
    <row r="425" spans="1:9" s="118" customFormat="1">
      <c r="A425" s="65" t="s">
        <v>486</v>
      </c>
      <c r="B425" s="66" t="s">
        <v>376</v>
      </c>
      <c r="C425" s="66" t="s">
        <v>423</v>
      </c>
      <c r="D425" s="66" t="s">
        <v>608</v>
      </c>
      <c r="E425" s="66" t="s">
        <v>77</v>
      </c>
      <c r="F425" s="67">
        <f t="shared" si="103"/>
        <v>1852.3600000000001</v>
      </c>
      <c r="G425" s="67">
        <f t="shared" si="103"/>
        <v>1852.36</v>
      </c>
      <c r="H425" s="67">
        <f t="shared" si="103"/>
        <v>1852.3600000000001</v>
      </c>
      <c r="I425" s="67">
        <f t="shared" si="91"/>
        <v>100</v>
      </c>
    </row>
    <row r="426" spans="1:9" s="118" customFormat="1">
      <c r="A426" s="65" t="s">
        <v>78</v>
      </c>
      <c r="B426" s="66" t="s">
        <v>376</v>
      </c>
      <c r="C426" s="66" t="s">
        <v>423</v>
      </c>
      <c r="D426" s="66" t="s">
        <v>608</v>
      </c>
      <c r="E426" s="66" t="s">
        <v>79</v>
      </c>
      <c r="F426" s="67">
        <f>2000+500-647.64</f>
        <v>1852.3600000000001</v>
      </c>
      <c r="G426" s="67">
        <v>1852.36</v>
      </c>
      <c r="H426" s="67">
        <f>2000+500-647.64</f>
        <v>1852.3600000000001</v>
      </c>
      <c r="I426" s="67">
        <f t="shared" si="91"/>
        <v>100</v>
      </c>
    </row>
    <row r="427" spans="1:9" s="118" customFormat="1" ht="24">
      <c r="A427" s="58" t="s">
        <v>231</v>
      </c>
      <c r="B427" s="59" t="s">
        <v>376</v>
      </c>
      <c r="C427" s="59" t="s">
        <v>423</v>
      </c>
      <c r="D427" s="59" t="s">
        <v>609</v>
      </c>
      <c r="E427" s="59"/>
      <c r="F427" s="60">
        <f t="shared" ref="F427:H428" si="104">F428</f>
        <v>256068.2</v>
      </c>
      <c r="G427" s="60">
        <f t="shared" si="104"/>
        <v>195130.90654</v>
      </c>
      <c r="H427" s="60">
        <f t="shared" si="104"/>
        <v>256068.2</v>
      </c>
      <c r="I427" s="60">
        <f t="shared" si="91"/>
        <v>100</v>
      </c>
    </row>
    <row r="428" spans="1:9" s="118" customFormat="1">
      <c r="A428" s="65" t="s">
        <v>94</v>
      </c>
      <c r="B428" s="66" t="s">
        <v>376</v>
      </c>
      <c r="C428" s="66" t="s">
        <v>423</v>
      </c>
      <c r="D428" s="66" t="s">
        <v>609</v>
      </c>
      <c r="E428" s="66" t="s">
        <v>362</v>
      </c>
      <c r="F428" s="67">
        <f t="shared" si="104"/>
        <v>256068.2</v>
      </c>
      <c r="G428" s="67">
        <f t="shared" si="104"/>
        <v>195130.90654</v>
      </c>
      <c r="H428" s="67">
        <f t="shared" si="104"/>
        <v>256068.2</v>
      </c>
      <c r="I428" s="67">
        <f t="shared" si="91"/>
        <v>100</v>
      </c>
    </row>
    <row r="429" spans="1:9" s="118" customFormat="1">
      <c r="A429" s="65" t="s">
        <v>95</v>
      </c>
      <c r="B429" s="66" t="s">
        <v>376</v>
      </c>
      <c r="C429" s="66" t="s">
        <v>423</v>
      </c>
      <c r="D429" s="66" t="s">
        <v>609</v>
      </c>
      <c r="E429" s="66" t="s">
        <v>371</v>
      </c>
      <c r="F429" s="67">
        <f>205280+649+10000+3500+36639.2</f>
        <v>256068.2</v>
      </c>
      <c r="G429" s="67">
        <v>195130.90654</v>
      </c>
      <c r="H429" s="67">
        <f>205280+649+10000+3500+36639.2</f>
        <v>256068.2</v>
      </c>
      <c r="I429" s="67">
        <f t="shared" si="91"/>
        <v>100</v>
      </c>
    </row>
    <row r="430" spans="1:9" s="118" customFormat="1">
      <c r="A430" s="58" t="s">
        <v>221</v>
      </c>
      <c r="B430" s="59" t="s">
        <v>376</v>
      </c>
      <c r="C430" s="59" t="s">
        <v>423</v>
      </c>
      <c r="D430" s="59" t="s">
        <v>490</v>
      </c>
      <c r="E430" s="59"/>
      <c r="F430" s="78">
        <f t="shared" ref="F430:H431" si="105">F431</f>
        <v>12000</v>
      </c>
      <c r="G430" s="78">
        <f t="shared" si="105"/>
        <v>10951.24596</v>
      </c>
      <c r="H430" s="78">
        <f t="shared" si="105"/>
        <v>12000</v>
      </c>
      <c r="I430" s="78">
        <f t="shared" si="91"/>
        <v>100</v>
      </c>
    </row>
    <row r="431" spans="1:9" s="118" customFormat="1">
      <c r="A431" s="65" t="s">
        <v>486</v>
      </c>
      <c r="B431" s="66" t="s">
        <v>376</v>
      </c>
      <c r="C431" s="66" t="s">
        <v>423</v>
      </c>
      <c r="D431" s="66" t="s">
        <v>490</v>
      </c>
      <c r="E431" s="66" t="s">
        <v>77</v>
      </c>
      <c r="F431" s="79">
        <f t="shared" si="105"/>
        <v>12000</v>
      </c>
      <c r="G431" s="79">
        <f t="shared" si="105"/>
        <v>10951.24596</v>
      </c>
      <c r="H431" s="79">
        <f t="shared" si="105"/>
        <v>12000</v>
      </c>
      <c r="I431" s="79">
        <f t="shared" si="91"/>
        <v>100</v>
      </c>
    </row>
    <row r="432" spans="1:9" s="118" customFormat="1">
      <c r="A432" s="65" t="s">
        <v>78</v>
      </c>
      <c r="B432" s="66" t="s">
        <v>376</v>
      </c>
      <c r="C432" s="66" t="s">
        <v>423</v>
      </c>
      <c r="D432" s="66" t="s">
        <v>490</v>
      </c>
      <c r="E432" s="66" t="s">
        <v>79</v>
      </c>
      <c r="F432" s="79">
        <v>12000</v>
      </c>
      <c r="G432" s="79">
        <v>10951.24596</v>
      </c>
      <c r="H432" s="79">
        <v>12000</v>
      </c>
      <c r="I432" s="79">
        <f t="shared" si="91"/>
        <v>100</v>
      </c>
    </row>
    <row r="433" spans="1:9" s="118" customFormat="1" ht="27">
      <c r="A433" s="69" t="s">
        <v>622</v>
      </c>
      <c r="B433" s="61" t="s">
        <v>376</v>
      </c>
      <c r="C433" s="61" t="s">
        <v>423</v>
      </c>
      <c r="D433" s="61" t="s">
        <v>215</v>
      </c>
      <c r="E433" s="61"/>
      <c r="F433" s="62">
        <f>F434</f>
        <v>134391.45199999999</v>
      </c>
      <c r="G433" s="62">
        <f>G434</f>
        <v>100866.87015</v>
      </c>
      <c r="H433" s="62">
        <f>H434</f>
        <v>129390.95199999999</v>
      </c>
      <c r="I433" s="62">
        <f t="shared" si="91"/>
        <v>96.279153230668271</v>
      </c>
    </row>
    <row r="434" spans="1:9" s="118" customFormat="1">
      <c r="A434" s="58" t="s">
        <v>392</v>
      </c>
      <c r="B434" s="59" t="s">
        <v>376</v>
      </c>
      <c r="C434" s="59" t="s">
        <v>423</v>
      </c>
      <c r="D434" s="59" t="s">
        <v>114</v>
      </c>
      <c r="E434" s="59"/>
      <c r="F434" s="60">
        <f>F435+F438+F441</f>
        <v>134391.45199999999</v>
      </c>
      <c r="G434" s="60">
        <f>G435+G438+G441</f>
        <v>100866.87015</v>
      </c>
      <c r="H434" s="60">
        <f>H435+H438+H441</f>
        <v>129390.95199999999</v>
      </c>
      <c r="I434" s="60">
        <f t="shared" si="91"/>
        <v>96.279153230668271</v>
      </c>
    </row>
    <row r="435" spans="1:9" s="118" customFormat="1">
      <c r="A435" s="70" t="s">
        <v>54</v>
      </c>
      <c r="B435" s="71" t="s">
        <v>376</v>
      </c>
      <c r="C435" s="71" t="s">
        <v>423</v>
      </c>
      <c r="D435" s="71" t="s">
        <v>649</v>
      </c>
      <c r="E435" s="83"/>
      <c r="F435" s="72">
        <f t="shared" ref="F435:H436" si="106">F436</f>
        <v>24791.451999999997</v>
      </c>
      <c r="G435" s="72">
        <f t="shared" si="106"/>
        <v>22140.124820000001</v>
      </c>
      <c r="H435" s="72">
        <f t="shared" si="106"/>
        <v>24791.451999999997</v>
      </c>
      <c r="I435" s="72">
        <f t="shared" si="91"/>
        <v>100</v>
      </c>
    </row>
    <row r="436" spans="1:9" s="118" customFormat="1">
      <c r="A436" s="65" t="s">
        <v>94</v>
      </c>
      <c r="B436" s="66" t="s">
        <v>376</v>
      </c>
      <c r="C436" s="66" t="s">
        <v>423</v>
      </c>
      <c r="D436" s="66" t="s">
        <v>649</v>
      </c>
      <c r="E436" s="66" t="s">
        <v>362</v>
      </c>
      <c r="F436" s="67">
        <f t="shared" si="106"/>
        <v>24791.451999999997</v>
      </c>
      <c r="G436" s="67">
        <f t="shared" si="106"/>
        <v>22140.124820000001</v>
      </c>
      <c r="H436" s="67">
        <f t="shared" si="106"/>
        <v>24791.451999999997</v>
      </c>
      <c r="I436" s="67">
        <f t="shared" si="91"/>
        <v>100</v>
      </c>
    </row>
    <row r="437" spans="1:9" s="118" customFormat="1">
      <c r="A437" s="65" t="s">
        <v>95</v>
      </c>
      <c r="B437" s="66" t="s">
        <v>376</v>
      </c>
      <c r="C437" s="66" t="s">
        <v>423</v>
      </c>
      <c r="D437" s="66" t="s">
        <v>649</v>
      </c>
      <c r="E437" s="66" t="s">
        <v>371</v>
      </c>
      <c r="F437" s="67">
        <f>24359-27.2+459.652</f>
        <v>24791.451999999997</v>
      </c>
      <c r="G437" s="67">
        <v>22140.124820000001</v>
      </c>
      <c r="H437" s="67">
        <f>24359-27.2+459.652</f>
        <v>24791.451999999997</v>
      </c>
      <c r="I437" s="67">
        <f t="shared" si="91"/>
        <v>100</v>
      </c>
    </row>
    <row r="438" spans="1:9" s="118" customFormat="1" ht="36">
      <c r="A438" s="84" t="s">
        <v>318</v>
      </c>
      <c r="B438" s="71" t="s">
        <v>376</v>
      </c>
      <c r="C438" s="71" t="s">
        <v>423</v>
      </c>
      <c r="D438" s="71" t="s">
        <v>650</v>
      </c>
      <c r="E438" s="71"/>
      <c r="F438" s="80">
        <f t="shared" ref="F438:H439" si="107">F439</f>
        <v>10600</v>
      </c>
      <c r="G438" s="80">
        <f t="shared" si="107"/>
        <v>10599.53095</v>
      </c>
      <c r="H438" s="80">
        <f t="shared" si="107"/>
        <v>10599.5</v>
      </c>
      <c r="I438" s="80">
        <f t="shared" si="91"/>
        <v>99.995283018867923</v>
      </c>
    </row>
    <row r="439" spans="1:9" s="118" customFormat="1">
      <c r="A439" s="65" t="s">
        <v>80</v>
      </c>
      <c r="B439" s="66" t="s">
        <v>376</v>
      </c>
      <c r="C439" s="66" t="s">
        <v>423</v>
      </c>
      <c r="D439" s="66" t="s">
        <v>650</v>
      </c>
      <c r="E439" s="66" t="s">
        <v>81</v>
      </c>
      <c r="F439" s="79">
        <f t="shared" si="107"/>
        <v>10600</v>
      </c>
      <c r="G439" s="79">
        <f t="shared" si="107"/>
        <v>10599.53095</v>
      </c>
      <c r="H439" s="79">
        <f t="shared" si="107"/>
        <v>10599.5</v>
      </c>
      <c r="I439" s="79">
        <f t="shared" si="91"/>
        <v>99.995283018867923</v>
      </c>
    </row>
    <row r="440" spans="1:9" s="118" customFormat="1" ht="24">
      <c r="A440" s="65" t="s">
        <v>485</v>
      </c>
      <c r="B440" s="66" t="s">
        <v>376</v>
      </c>
      <c r="C440" s="66" t="s">
        <v>423</v>
      </c>
      <c r="D440" s="66" t="s">
        <v>650</v>
      </c>
      <c r="E440" s="66" t="s">
        <v>374</v>
      </c>
      <c r="F440" s="79">
        <f>34000-15605-7795</f>
        <v>10600</v>
      </c>
      <c r="G440" s="79">
        <v>10599.53095</v>
      </c>
      <c r="H440" s="79">
        <f>34000-15605-7795-0.5</f>
        <v>10599.5</v>
      </c>
      <c r="I440" s="79">
        <f t="shared" si="91"/>
        <v>99.995283018867923</v>
      </c>
    </row>
    <row r="441" spans="1:9" s="118" customFormat="1">
      <c r="A441" s="70" t="s">
        <v>651</v>
      </c>
      <c r="B441" s="71" t="s">
        <v>376</v>
      </c>
      <c r="C441" s="71" t="s">
        <v>423</v>
      </c>
      <c r="D441" s="71" t="s">
        <v>652</v>
      </c>
      <c r="E441" s="71"/>
      <c r="F441" s="72">
        <f t="shared" ref="F441:H442" si="108">F442</f>
        <v>99000</v>
      </c>
      <c r="G441" s="72">
        <f t="shared" si="108"/>
        <v>68127.214380000005</v>
      </c>
      <c r="H441" s="72">
        <f t="shared" si="108"/>
        <v>94000</v>
      </c>
      <c r="I441" s="72">
        <f t="shared" ref="I441:I504" si="109">H441/F441*100</f>
        <v>94.949494949494948</v>
      </c>
    </row>
    <row r="442" spans="1:9" s="118" customFormat="1">
      <c r="A442" s="65" t="s">
        <v>486</v>
      </c>
      <c r="B442" s="66" t="s">
        <v>376</v>
      </c>
      <c r="C442" s="66" t="s">
        <v>423</v>
      </c>
      <c r="D442" s="66" t="s">
        <v>652</v>
      </c>
      <c r="E442" s="66" t="s">
        <v>77</v>
      </c>
      <c r="F442" s="67">
        <f t="shared" si="108"/>
        <v>99000</v>
      </c>
      <c r="G442" s="67">
        <f t="shared" si="108"/>
        <v>68127.214380000005</v>
      </c>
      <c r="H442" s="67">
        <f t="shared" si="108"/>
        <v>94000</v>
      </c>
      <c r="I442" s="67">
        <f t="shared" si="109"/>
        <v>94.949494949494948</v>
      </c>
    </row>
    <row r="443" spans="1:9" s="118" customFormat="1">
      <c r="A443" s="65" t="s">
        <v>78</v>
      </c>
      <c r="B443" s="66" t="s">
        <v>376</v>
      </c>
      <c r="C443" s="66" t="s">
        <v>423</v>
      </c>
      <c r="D443" s="66" t="s">
        <v>652</v>
      </c>
      <c r="E443" s="66" t="s">
        <v>79</v>
      </c>
      <c r="F443" s="67">
        <f>90000+9000</f>
        <v>99000</v>
      </c>
      <c r="G443" s="67">
        <v>68127.214380000005</v>
      </c>
      <c r="H443" s="67">
        <f>90000+9000-5000</f>
        <v>94000</v>
      </c>
      <c r="I443" s="67">
        <f t="shared" si="109"/>
        <v>94.949494949494948</v>
      </c>
    </row>
    <row r="444" spans="1:9" s="118" customFormat="1" ht="27">
      <c r="A444" s="69" t="s">
        <v>674</v>
      </c>
      <c r="B444" s="61" t="s">
        <v>376</v>
      </c>
      <c r="C444" s="61" t="s">
        <v>423</v>
      </c>
      <c r="D444" s="61" t="s">
        <v>243</v>
      </c>
      <c r="E444" s="61"/>
      <c r="F444" s="62">
        <f>F445+F448+F451</f>
        <v>218249.01699999999</v>
      </c>
      <c r="G444" s="62">
        <f>G445+G448+G451</f>
        <v>151163.19921000002</v>
      </c>
      <c r="H444" s="62">
        <f>H445+H448+H451</f>
        <v>208249.01699999999</v>
      </c>
      <c r="I444" s="62">
        <f t="shared" si="109"/>
        <v>95.418077873862771</v>
      </c>
    </row>
    <row r="445" spans="1:9" s="118" customFormat="1">
      <c r="A445" s="85" t="s">
        <v>497</v>
      </c>
      <c r="B445" s="59" t="s">
        <v>376</v>
      </c>
      <c r="C445" s="59" t="s">
        <v>423</v>
      </c>
      <c r="D445" s="59" t="s">
        <v>617</v>
      </c>
      <c r="E445" s="59"/>
      <c r="F445" s="60">
        <f t="shared" ref="F445:H446" si="110">F446</f>
        <v>17500</v>
      </c>
      <c r="G445" s="60">
        <f t="shared" si="110"/>
        <v>4631.4449999999997</v>
      </c>
      <c r="H445" s="60">
        <f t="shared" si="110"/>
        <v>17500</v>
      </c>
      <c r="I445" s="60">
        <f t="shared" si="109"/>
        <v>100</v>
      </c>
    </row>
    <row r="446" spans="1:9" s="118" customFormat="1">
      <c r="A446" s="65" t="s">
        <v>486</v>
      </c>
      <c r="B446" s="66" t="s">
        <v>376</v>
      </c>
      <c r="C446" s="66" t="s">
        <v>423</v>
      </c>
      <c r="D446" s="66" t="s">
        <v>617</v>
      </c>
      <c r="E446" s="66" t="s">
        <v>77</v>
      </c>
      <c r="F446" s="67">
        <f t="shared" si="110"/>
        <v>17500</v>
      </c>
      <c r="G446" s="67">
        <f t="shared" si="110"/>
        <v>4631.4449999999997</v>
      </c>
      <c r="H446" s="67">
        <f t="shared" si="110"/>
        <v>17500</v>
      </c>
      <c r="I446" s="67">
        <f t="shared" si="109"/>
        <v>100</v>
      </c>
    </row>
    <row r="447" spans="1:9" s="118" customFormat="1">
      <c r="A447" s="65" t="s">
        <v>78</v>
      </c>
      <c r="B447" s="66" t="s">
        <v>376</v>
      </c>
      <c r="C447" s="66" t="s">
        <v>423</v>
      </c>
      <c r="D447" s="66" t="s">
        <v>617</v>
      </c>
      <c r="E447" s="66" t="s">
        <v>79</v>
      </c>
      <c r="F447" s="67">
        <f>5000+7000+4500+1000</f>
        <v>17500</v>
      </c>
      <c r="G447" s="67">
        <v>4631.4449999999997</v>
      </c>
      <c r="H447" s="67">
        <f>5000+7000+4500+1000</f>
        <v>17500</v>
      </c>
      <c r="I447" s="67">
        <f t="shared" si="109"/>
        <v>100</v>
      </c>
    </row>
    <row r="448" spans="1:9" s="118" customFormat="1">
      <c r="A448" s="58" t="s">
        <v>505</v>
      </c>
      <c r="B448" s="59" t="s">
        <v>376</v>
      </c>
      <c r="C448" s="59" t="s">
        <v>423</v>
      </c>
      <c r="D448" s="59" t="s">
        <v>618</v>
      </c>
      <c r="E448" s="59"/>
      <c r="F448" s="78">
        <f t="shared" ref="F448:H449" si="111">F449</f>
        <v>200000</v>
      </c>
      <c r="G448" s="78">
        <f t="shared" si="111"/>
        <v>145990.06547</v>
      </c>
      <c r="H448" s="78">
        <f t="shared" si="111"/>
        <v>190000</v>
      </c>
      <c r="I448" s="78">
        <f t="shared" si="109"/>
        <v>95</v>
      </c>
    </row>
    <row r="449" spans="1:9" s="118" customFormat="1">
      <c r="A449" s="65" t="s">
        <v>486</v>
      </c>
      <c r="B449" s="66" t="s">
        <v>376</v>
      </c>
      <c r="C449" s="66" t="s">
        <v>423</v>
      </c>
      <c r="D449" s="66" t="s">
        <v>618</v>
      </c>
      <c r="E449" s="66" t="s">
        <v>77</v>
      </c>
      <c r="F449" s="79">
        <f t="shared" si="111"/>
        <v>200000</v>
      </c>
      <c r="G449" s="79">
        <f t="shared" si="111"/>
        <v>145990.06547</v>
      </c>
      <c r="H449" s="79">
        <f t="shared" si="111"/>
        <v>190000</v>
      </c>
      <c r="I449" s="79">
        <f t="shared" si="109"/>
        <v>95</v>
      </c>
    </row>
    <row r="450" spans="1:9" s="118" customFormat="1">
      <c r="A450" s="65" t="s">
        <v>78</v>
      </c>
      <c r="B450" s="66" t="s">
        <v>376</v>
      </c>
      <c r="C450" s="66" t="s">
        <v>423</v>
      </c>
      <c r="D450" s="66" t="s">
        <v>618</v>
      </c>
      <c r="E450" s="66" t="s">
        <v>79</v>
      </c>
      <c r="F450" s="79">
        <f>150000+50000</f>
        <v>200000</v>
      </c>
      <c r="G450" s="79">
        <v>145990.06547</v>
      </c>
      <c r="H450" s="79">
        <f>150000+50000-10000</f>
        <v>190000</v>
      </c>
      <c r="I450" s="79">
        <f t="shared" si="109"/>
        <v>95</v>
      </c>
    </row>
    <row r="451" spans="1:9" s="118" customFormat="1">
      <c r="A451" s="85" t="s">
        <v>120</v>
      </c>
      <c r="B451" s="59" t="s">
        <v>376</v>
      </c>
      <c r="C451" s="59" t="s">
        <v>423</v>
      </c>
      <c r="D451" s="59" t="s">
        <v>612</v>
      </c>
      <c r="E451" s="59"/>
      <c r="F451" s="78">
        <f t="shared" ref="F451:H452" si="112">F452</f>
        <v>749.01700000000005</v>
      </c>
      <c r="G451" s="78">
        <f t="shared" si="112"/>
        <v>541.68874000000005</v>
      </c>
      <c r="H451" s="78">
        <f t="shared" si="112"/>
        <v>749.01700000000005</v>
      </c>
      <c r="I451" s="78">
        <f t="shared" si="109"/>
        <v>100</v>
      </c>
    </row>
    <row r="452" spans="1:9" s="118" customFormat="1">
      <c r="A452" s="65" t="s">
        <v>486</v>
      </c>
      <c r="B452" s="66" t="s">
        <v>376</v>
      </c>
      <c r="C452" s="66" t="s">
        <v>423</v>
      </c>
      <c r="D452" s="66" t="s">
        <v>612</v>
      </c>
      <c r="E452" s="66" t="s">
        <v>77</v>
      </c>
      <c r="F452" s="79">
        <f t="shared" si="112"/>
        <v>749.01700000000005</v>
      </c>
      <c r="G452" s="79">
        <f t="shared" si="112"/>
        <v>541.68874000000005</v>
      </c>
      <c r="H452" s="79">
        <f t="shared" si="112"/>
        <v>749.01700000000005</v>
      </c>
      <c r="I452" s="79">
        <f t="shared" si="109"/>
        <v>100</v>
      </c>
    </row>
    <row r="453" spans="1:9" s="118" customFormat="1">
      <c r="A453" s="65" t="s">
        <v>78</v>
      </c>
      <c r="B453" s="66" t="s">
        <v>376</v>
      </c>
      <c r="C453" s="66" t="s">
        <v>423</v>
      </c>
      <c r="D453" s="66" t="s">
        <v>612</v>
      </c>
      <c r="E453" s="66" t="s">
        <v>79</v>
      </c>
      <c r="F453" s="79">
        <f>200+400+200-50.983</f>
        <v>749.01700000000005</v>
      </c>
      <c r="G453" s="79">
        <v>541.68874000000005</v>
      </c>
      <c r="H453" s="79">
        <f>200+400+200-50.983</f>
        <v>749.01700000000005</v>
      </c>
      <c r="I453" s="79">
        <f t="shared" si="109"/>
        <v>100</v>
      </c>
    </row>
    <row r="454" spans="1:9" s="118" customFormat="1" ht="27">
      <c r="A454" s="69" t="s">
        <v>494</v>
      </c>
      <c r="B454" s="61" t="s">
        <v>376</v>
      </c>
      <c r="C454" s="61" t="s">
        <v>423</v>
      </c>
      <c r="D454" s="93" t="s">
        <v>435</v>
      </c>
      <c r="E454" s="61"/>
      <c r="F454" s="105">
        <f>F455+F458</f>
        <v>91852.525259999995</v>
      </c>
      <c r="G454" s="105">
        <f>G455+G458</f>
        <v>77981.58600000001</v>
      </c>
      <c r="H454" s="105">
        <f>H455+H458</f>
        <v>91852.525259999995</v>
      </c>
      <c r="I454" s="105">
        <f t="shared" si="109"/>
        <v>100</v>
      </c>
    </row>
    <row r="455" spans="1:9" s="118" customFormat="1">
      <c r="A455" s="58" t="s">
        <v>514</v>
      </c>
      <c r="B455" s="59" t="s">
        <v>376</v>
      </c>
      <c r="C455" s="59" t="s">
        <v>423</v>
      </c>
      <c r="D455" s="86" t="s">
        <v>515</v>
      </c>
      <c r="E455" s="59"/>
      <c r="F455" s="79">
        <f t="shared" ref="F455:H456" si="113">F456</f>
        <v>83852.525259999995</v>
      </c>
      <c r="G455" s="79">
        <f t="shared" si="113"/>
        <v>71189.690830000007</v>
      </c>
      <c r="H455" s="79">
        <f t="shared" si="113"/>
        <v>83852.525259999995</v>
      </c>
      <c r="I455" s="79">
        <f t="shared" si="109"/>
        <v>100</v>
      </c>
    </row>
    <row r="456" spans="1:9" s="118" customFormat="1">
      <c r="A456" s="65" t="s">
        <v>486</v>
      </c>
      <c r="B456" s="66" t="s">
        <v>376</v>
      </c>
      <c r="C456" s="66" t="s">
        <v>423</v>
      </c>
      <c r="D456" s="76" t="s">
        <v>515</v>
      </c>
      <c r="E456" s="66" t="s">
        <v>77</v>
      </c>
      <c r="F456" s="79">
        <f t="shared" si="113"/>
        <v>83852.525259999995</v>
      </c>
      <c r="G456" s="79">
        <f t="shared" si="113"/>
        <v>71189.690830000007</v>
      </c>
      <c r="H456" s="79">
        <f t="shared" si="113"/>
        <v>83852.525259999995</v>
      </c>
      <c r="I456" s="79">
        <f t="shared" si="109"/>
        <v>100</v>
      </c>
    </row>
    <row r="457" spans="1:9" s="118" customFormat="1">
      <c r="A457" s="65" t="s">
        <v>78</v>
      </c>
      <c r="B457" s="66" t="s">
        <v>376</v>
      </c>
      <c r="C457" s="66" t="s">
        <v>423</v>
      </c>
      <c r="D457" s="76" t="s">
        <v>515</v>
      </c>
      <c r="E457" s="66" t="s">
        <v>79</v>
      </c>
      <c r="F457" s="79">
        <f>83852.52526</f>
        <v>83852.525259999995</v>
      </c>
      <c r="G457" s="79">
        <v>71189.690830000007</v>
      </c>
      <c r="H457" s="79">
        <f>83852.52526</f>
        <v>83852.525259999995</v>
      </c>
      <c r="I457" s="79">
        <f t="shared" si="109"/>
        <v>100</v>
      </c>
    </row>
    <row r="458" spans="1:9" s="118" customFormat="1">
      <c r="A458" s="58" t="s">
        <v>43</v>
      </c>
      <c r="B458" s="59" t="s">
        <v>376</v>
      </c>
      <c r="C458" s="59" t="s">
        <v>423</v>
      </c>
      <c r="D458" s="86" t="s">
        <v>489</v>
      </c>
      <c r="E458" s="59"/>
      <c r="F458" s="78">
        <f t="shared" ref="F458:H459" si="114">F459</f>
        <v>8000</v>
      </c>
      <c r="G458" s="78">
        <f t="shared" si="114"/>
        <v>6791.8951699999998</v>
      </c>
      <c r="H458" s="78">
        <f t="shared" si="114"/>
        <v>8000</v>
      </c>
      <c r="I458" s="78">
        <f t="shared" si="109"/>
        <v>100</v>
      </c>
    </row>
    <row r="459" spans="1:9" s="118" customFormat="1">
      <c r="A459" s="65" t="s">
        <v>486</v>
      </c>
      <c r="B459" s="66" t="s">
        <v>376</v>
      </c>
      <c r="C459" s="66" t="s">
        <v>423</v>
      </c>
      <c r="D459" s="76" t="s">
        <v>489</v>
      </c>
      <c r="E459" s="66" t="s">
        <v>77</v>
      </c>
      <c r="F459" s="79">
        <f t="shared" si="114"/>
        <v>8000</v>
      </c>
      <c r="G459" s="79">
        <f t="shared" si="114"/>
        <v>6791.8951699999998</v>
      </c>
      <c r="H459" s="79">
        <f t="shared" si="114"/>
        <v>8000</v>
      </c>
      <c r="I459" s="79">
        <f t="shared" si="109"/>
        <v>100</v>
      </c>
    </row>
    <row r="460" spans="1:9" s="118" customFormat="1">
      <c r="A460" s="65" t="s">
        <v>78</v>
      </c>
      <c r="B460" s="66" t="s">
        <v>376</v>
      </c>
      <c r="C460" s="66" t="s">
        <v>423</v>
      </c>
      <c r="D460" s="76" t="s">
        <v>489</v>
      </c>
      <c r="E460" s="66" t="s">
        <v>79</v>
      </c>
      <c r="F460" s="79">
        <v>8000</v>
      </c>
      <c r="G460" s="79">
        <v>6791.8951699999998</v>
      </c>
      <c r="H460" s="79">
        <v>8000</v>
      </c>
      <c r="I460" s="79">
        <f t="shared" si="109"/>
        <v>100</v>
      </c>
    </row>
    <row r="461" spans="1:9" s="118" customFormat="1">
      <c r="A461" s="89" t="s">
        <v>67</v>
      </c>
      <c r="B461" s="71" t="s">
        <v>376</v>
      </c>
      <c r="C461" s="71" t="s">
        <v>423</v>
      </c>
      <c r="D461" s="71" t="s">
        <v>187</v>
      </c>
      <c r="E461" s="71"/>
      <c r="F461" s="72">
        <f t="shared" ref="F461:H464" si="115">F462</f>
        <v>10942.143</v>
      </c>
      <c r="G461" s="72">
        <f t="shared" si="115"/>
        <v>8064.3233799999998</v>
      </c>
      <c r="H461" s="72">
        <f t="shared" si="115"/>
        <v>9942.143</v>
      </c>
      <c r="I461" s="72">
        <f t="shared" si="109"/>
        <v>90.861022379254237</v>
      </c>
    </row>
    <row r="462" spans="1:9" s="118" customFormat="1">
      <c r="A462" s="58" t="s">
        <v>272</v>
      </c>
      <c r="B462" s="59" t="s">
        <v>376</v>
      </c>
      <c r="C462" s="59" t="s">
        <v>423</v>
      </c>
      <c r="D462" s="59" t="s">
        <v>188</v>
      </c>
      <c r="E462" s="59"/>
      <c r="F462" s="60">
        <f>F463+F466</f>
        <v>10942.143</v>
      </c>
      <c r="G462" s="60">
        <f>G463+G466</f>
        <v>8064.3233799999998</v>
      </c>
      <c r="H462" s="60">
        <f>H463+H466</f>
        <v>9942.143</v>
      </c>
      <c r="I462" s="60">
        <f t="shared" si="109"/>
        <v>90.861022379254237</v>
      </c>
    </row>
    <row r="463" spans="1:9" s="118" customFormat="1">
      <c r="A463" s="58" t="s">
        <v>502</v>
      </c>
      <c r="B463" s="59" t="s">
        <v>376</v>
      </c>
      <c r="C463" s="59" t="s">
        <v>423</v>
      </c>
      <c r="D463" s="86" t="s">
        <v>310</v>
      </c>
      <c r="E463" s="59"/>
      <c r="F463" s="60">
        <f t="shared" si="115"/>
        <v>8000</v>
      </c>
      <c r="G463" s="60">
        <f t="shared" si="115"/>
        <v>5122.1803799999998</v>
      </c>
      <c r="H463" s="60">
        <f t="shared" si="115"/>
        <v>7000</v>
      </c>
      <c r="I463" s="60">
        <f t="shared" si="109"/>
        <v>87.5</v>
      </c>
    </row>
    <row r="464" spans="1:9" s="118" customFormat="1">
      <c r="A464" s="65" t="s">
        <v>486</v>
      </c>
      <c r="B464" s="66" t="s">
        <v>376</v>
      </c>
      <c r="C464" s="66" t="s">
        <v>423</v>
      </c>
      <c r="D464" s="76" t="s">
        <v>310</v>
      </c>
      <c r="E464" s="66" t="s">
        <v>77</v>
      </c>
      <c r="F464" s="67">
        <f t="shared" si="115"/>
        <v>8000</v>
      </c>
      <c r="G464" s="67">
        <f t="shared" si="115"/>
        <v>5122.1803799999998</v>
      </c>
      <c r="H464" s="67">
        <f t="shared" si="115"/>
        <v>7000</v>
      </c>
      <c r="I464" s="67">
        <f t="shared" si="109"/>
        <v>87.5</v>
      </c>
    </row>
    <row r="465" spans="1:9" s="118" customFormat="1">
      <c r="A465" s="65" t="s">
        <v>78</v>
      </c>
      <c r="B465" s="66" t="s">
        <v>376</v>
      </c>
      <c r="C465" s="66" t="s">
        <v>423</v>
      </c>
      <c r="D465" s="76" t="s">
        <v>310</v>
      </c>
      <c r="E465" s="66" t="s">
        <v>79</v>
      </c>
      <c r="F465" s="67">
        <f>5000+3000</f>
        <v>8000</v>
      </c>
      <c r="G465" s="67">
        <v>5122.1803799999998</v>
      </c>
      <c r="H465" s="67">
        <f>5000+3000-1000</f>
        <v>7000</v>
      </c>
      <c r="I465" s="67">
        <f t="shared" si="109"/>
        <v>87.5</v>
      </c>
    </row>
    <row r="466" spans="1:9" s="118" customFormat="1">
      <c r="A466" s="58" t="s">
        <v>84</v>
      </c>
      <c r="B466" s="59" t="s">
        <v>376</v>
      </c>
      <c r="C466" s="59" t="s">
        <v>423</v>
      </c>
      <c r="D466" s="59" t="s">
        <v>288</v>
      </c>
      <c r="E466" s="59"/>
      <c r="F466" s="60">
        <f t="shared" ref="F466:H467" si="116">F467</f>
        <v>2942.143</v>
      </c>
      <c r="G466" s="60">
        <f t="shared" si="116"/>
        <v>2942.143</v>
      </c>
      <c r="H466" s="60">
        <f t="shared" si="116"/>
        <v>2942.143</v>
      </c>
      <c r="I466" s="60">
        <f t="shared" si="109"/>
        <v>100</v>
      </c>
    </row>
    <row r="467" spans="1:9" s="118" customFormat="1">
      <c r="A467" s="65" t="s">
        <v>94</v>
      </c>
      <c r="B467" s="66" t="s">
        <v>376</v>
      </c>
      <c r="C467" s="66" t="s">
        <v>423</v>
      </c>
      <c r="D467" s="66" t="s">
        <v>288</v>
      </c>
      <c r="E467" s="66" t="s">
        <v>362</v>
      </c>
      <c r="F467" s="67">
        <f t="shared" si="116"/>
        <v>2942.143</v>
      </c>
      <c r="G467" s="67">
        <f t="shared" si="116"/>
        <v>2942.143</v>
      </c>
      <c r="H467" s="67">
        <f t="shared" si="116"/>
        <v>2942.143</v>
      </c>
      <c r="I467" s="67">
        <f t="shared" si="109"/>
        <v>100</v>
      </c>
    </row>
    <row r="468" spans="1:9" s="118" customFormat="1">
      <c r="A468" s="65" t="s">
        <v>95</v>
      </c>
      <c r="B468" s="66" t="s">
        <v>376</v>
      </c>
      <c r="C468" s="66" t="s">
        <v>423</v>
      </c>
      <c r="D468" s="66" t="s">
        <v>288</v>
      </c>
      <c r="E468" s="66" t="s">
        <v>371</v>
      </c>
      <c r="F468" s="67">
        <v>2942.143</v>
      </c>
      <c r="G468" s="67">
        <v>2942.143</v>
      </c>
      <c r="H468" s="67">
        <v>2942.143</v>
      </c>
      <c r="I468" s="67">
        <f t="shared" si="109"/>
        <v>100</v>
      </c>
    </row>
    <row r="469" spans="1:9" s="118" customFormat="1">
      <c r="A469" s="58" t="s">
        <v>337</v>
      </c>
      <c r="B469" s="59" t="s">
        <v>376</v>
      </c>
      <c r="C469" s="59" t="s">
        <v>376</v>
      </c>
      <c r="D469" s="59"/>
      <c r="E469" s="59"/>
      <c r="F469" s="60">
        <f>F470+F481+F501</f>
        <v>44514.614029999997</v>
      </c>
      <c r="G469" s="60">
        <f>G470+G481+G501</f>
        <v>35321.503570000001</v>
      </c>
      <c r="H469" s="60">
        <f>H470+H481+H501</f>
        <v>44514.614029999997</v>
      </c>
      <c r="I469" s="60">
        <f t="shared" si="109"/>
        <v>100</v>
      </c>
    </row>
    <row r="470" spans="1:9" s="118" customFormat="1" ht="13.5">
      <c r="A470" s="69" t="s">
        <v>671</v>
      </c>
      <c r="B470" s="61" t="s">
        <v>376</v>
      </c>
      <c r="C470" s="61" t="s">
        <v>376</v>
      </c>
      <c r="D470" s="61" t="s">
        <v>225</v>
      </c>
      <c r="E470" s="61"/>
      <c r="F470" s="62">
        <f t="shared" ref="F470:H471" si="117">F471</f>
        <v>7345.4</v>
      </c>
      <c r="G470" s="62">
        <f t="shared" si="117"/>
        <v>5832.74179</v>
      </c>
      <c r="H470" s="62">
        <f t="shared" si="117"/>
        <v>7345.4</v>
      </c>
      <c r="I470" s="62">
        <f t="shared" si="109"/>
        <v>100</v>
      </c>
    </row>
    <row r="471" spans="1:9" s="118" customFormat="1">
      <c r="A471" s="73" t="s">
        <v>307</v>
      </c>
      <c r="B471" s="59" t="s">
        <v>376</v>
      </c>
      <c r="C471" s="59" t="s">
        <v>376</v>
      </c>
      <c r="D471" s="59" t="s">
        <v>225</v>
      </c>
      <c r="E471" s="59"/>
      <c r="F471" s="60">
        <f t="shared" si="117"/>
        <v>7345.4</v>
      </c>
      <c r="G471" s="60">
        <f t="shared" si="117"/>
        <v>5832.74179</v>
      </c>
      <c r="H471" s="60">
        <f t="shared" si="117"/>
        <v>7345.4</v>
      </c>
      <c r="I471" s="60">
        <f t="shared" si="109"/>
        <v>100</v>
      </c>
    </row>
    <row r="472" spans="1:9" s="118" customFormat="1" ht="24">
      <c r="A472" s="70" t="s">
        <v>364</v>
      </c>
      <c r="B472" s="71" t="s">
        <v>376</v>
      </c>
      <c r="C472" s="71" t="s">
        <v>376</v>
      </c>
      <c r="D472" s="71" t="s">
        <v>225</v>
      </c>
      <c r="E472" s="71"/>
      <c r="F472" s="72">
        <f>F473+F476</f>
        <v>7345.4</v>
      </c>
      <c r="G472" s="72">
        <f>G473+G476</f>
        <v>5832.74179</v>
      </c>
      <c r="H472" s="72">
        <f>H473+H476</f>
        <v>7345.4</v>
      </c>
      <c r="I472" s="72">
        <f t="shared" si="109"/>
        <v>100</v>
      </c>
    </row>
    <row r="473" spans="1:9" s="118" customFormat="1">
      <c r="A473" s="73" t="s">
        <v>347</v>
      </c>
      <c r="B473" s="59" t="s">
        <v>376</v>
      </c>
      <c r="C473" s="59" t="s">
        <v>376</v>
      </c>
      <c r="D473" s="59" t="s">
        <v>308</v>
      </c>
      <c r="E473" s="59"/>
      <c r="F473" s="60">
        <f t="shared" ref="F473:H474" si="118">F474</f>
        <v>7127.4</v>
      </c>
      <c r="G473" s="60">
        <f t="shared" si="118"/>
        <v>5644.9242000000004</v>
      </c>
      <c r="H473" s="60">
        <f t="shared" si="118"/>
        <v>7127.4</v>
      </c>
      <c r="I473" s="60">
        <f t="shared" si="109"/>
        <v>100</v>
      </c>
    </row>
    <row r="474" spans="1:9" s="118" customFormat="1" ht="24">
      <c r="A474" s="65" t="s">
        <v>72</v>
      </c>
      <c r="B474" s="66" t="s">
        <v>376</v>
      </c>
      <c r="C474" s="66" t="s">
        <v>376</v>
      </c>
      <c r="D474" s="66" t="s">
        <v>308</v>
      </c>
      <c r="E474" s="66" t="s">
        <v>73</v>
      </c>
      <c r="F474" s="67">
        <f t="shared" si="118"/>
        <v>7127.4</v>
      </c>
      <c r="G474" s="67">
        <f t="shared" si="118"/>
        <v>5644.9242000000004</v>
      </c>
      <c r="H474" s="67">
        <f t="shared" si="118"/>
        <v>7127.4</v>
      </c>
      <c r="I474" s="67">
        <f t="shared" si="109"/>
        <v>100</v>
      </c>
    </row>
    <row r="475" spans="1:9" s="118" customFormat="1">
      <c r="A475" s="65" t="s">
        <v>74</v>
      </c>
      <c r="B475" s="66" t="s">
        <v>376</v>
      </c>
      <c r="C475" s="66" t="s">
        <v>376</v>
      </c>
      <c r="D475" s="66" t="s">
        <v>308</v>
      </c>
      <c r="E475" s="66" t="s">
        <v>75</v>
      </c>
      <c r="F475" s="67">
        <f>5275.5+10+1593.2+248.7</f>
        <v>7127.4</v>
      </c>
      <c r="G475" s="67">
        <v>5644.9242000000004</v>
      </c>
      <c r="H475" s="67">
        <f>5275.5+10+1593.2+248.7</f>
        <v>7127.4</v>
      </c>
      <c r="I475" s="67">
        <f t="shared" si="109"/>
        <v>100</v>
      </c>
    </row>
    <row r="476" spans="1:9" s="118" customFormat="1">
      <c r="A476" s="58" t="s">
        <v>76</v>
      </c>
      <c r="B476" s="59" t="s">
        <v>376</v>
      </c>
      <c r="C476" s="59" t="s">
        <v>376</v>
      </c>
      <c r="D476" s="59" t="s">
        <v>309</v>
      </c>
      <c r="E476" s="59"/>
      <c r="F476" s="60">
        <f>F477+F479</f>
        <v>218</v>
      </c>
      <c r="G476" s="60">
        <f>G477+G479</f>
        <v>187.81759</v>
      </c>
      <c r="H476" s="60">
        <f>H477+H479</f>
        <v>218</v>
      </c>
      <c r="I476" s="60">
        <f t="shared" si="109"/>
        <v>100</v>
      </c>
    </row>
    <row r="477" spans="1:9" s="118" customFormat="1">
      <c r="A477" s="65" t="s">
        <v>486</v>
      </c>
      <c r="B477" s="66" t="s">
        <v>376</v>
      </c>
      <c r="C477" s="66" t="s">
        <v>376</v>
      </c>
      <c r="D477" s="66" t="s">
        <v>309</v>
      </c>
      <c r="E477" s="66" t="s">
        <v>77</v>
      </c>
      <c r="F477" s="67">
        <f>F478</f>
        <v>211.5</v>
      </c>
      <c r="G477" s="67">
        <f>G478</f>
        <v>181.31759</v>
      </c>
      <c r="H477" s="67">
        <f>H478</f>
        <v>211.5</v>
      </c>
      <c r="I477" s="67">
        <f t="shared" si="109"/>
        <v>100</v>
      </c>
    </row>
    <row r="478" spans="1:9" s="118" customFormat="1">
      <c r="A478" s="65" t="s">
        <v>78</v>
      </c>
      <c r="B478" s="66" t="s">
        <v>376</v>
      </c>
      <c r="C478" s="66" t="s">
        <v>376</v>
      </c>
      <c r="D478" s="66" t="s">
        <v>309</v>
      </c>
      <c r="E478" s="66" t="s">
        <v>79</v>
      </c>
      <c r="F478" s="67">
        <f>215-3.5</f>
        <v>211.5</v>
      </c>
      <c r="G478" s="67">
        <v>181.31759</v>
      </c>
      <c r="H478" s="67">
        <f>215-3.5</f>
        <v>211.5</v>
      </c>
      <c r="I478" s="67">
        <f t="shared" si="109"/>
        <v>100</v>
      </c>
    </row>
    <row r="479" spans="1:9" s="118" customFormat="1">
      <c r="A479" s="65" t="s">
        <v>80</v>
      </c>
      <c r="B479" s="66" t="s">
        <v>376</v>
      </c>
      <c r="C479" s="66" t="s">
        <v>376</v>
      </c>
      <c r="D479" s="66" t="s">
        <v>309</v>
      </c>
      <c r="E479" s="66" t="s">
        <v>81</v>
      </c>
      <c r="F479" s="67">
        <f>F480</f>
        <v>6.5</v>
      </c>
      <c r="G479" s="67">
        <f>G480</f>
        <v>6.5</v>
      </c>
      <c r="H479" s="67">
        <f>H480</f>
        <v>6.5</v>
      </c>
      <c r="I479" s="67">
        <f t="shared" si="109"/>
        <v>100</v>
      </c>
    </row>
    <row r="480" spans="1:9" s="118" customFormat="1">
      <c r="A480" s="65" t="s">
        <v>445</v>
      </c>
      <c r="B480" s="66" t="s">
        <v>376</v>
      </c>
      <c r="C480" s="66" t="s">
        <v>376</v>
      </c>
      <c r="D480" s="66" t="s">
        <v>309</v>
      </c>
      <c r="E480" s="66" t="s">
        <v>82</v>
      </c>
      <c r="F480" s="67">
        <f>3+3.5</f>
        <v>6.5</v>
      </c>
      <c r="G480" s="67">
        <v>6.5</v>
      </c>
      <c r="H480" s="67">
        <f>3+3.5</f>
        <v>6.5</v>
      </c>
      <c r="I480" s="67">
        <f t="shared" si="109"/>
        <v>100</v>
      </c>
    </row>
    <row r="481" spans="1:9" s="118" customFormat="1" ht="27">
      <c r="A481" s="69" t="s">
        <v>622</v>
      </c>
      <c r="B481" s="61" t="s">
        <v>376</v>
      </c>
      <c r="C481" s="61" t="s">
        <v>376</v>
      </c>
      <c r="D481" s="61" t="s">
        <v>215</v>
      </c>
      <c r="E481" s="61"/>
      <c r="F481" s="62">
        <f>F482+F493</f>
        <v>29227.3</v>
      </c>
      <c r="G481" s="62">
        <f>G482+G493</f>
        <v>22690.48314</v>
      </c>
      <c r="H481" s="62">
        <f>H482+H493</f>
        <v>29227.3</v>
      </c>
      <c r="I481" s="62">
        <f t="shared" si="109"/>
        <v>100</v>
      </c>
    </row>
    <row r="482" spans="1:9" s="118" customFormat="1">
      <c r="A482" s="58" t="s">
        <v>392</v>
      </c>
      <c r="B482" s="59" t="s">
        <v>376</v>
      </c>
      <c r="C482" s="59" t="s">
        <v>376</v>
      </c>
      <c r="D482" s="59" t="s">
        <v>114</v>
      </c>
      <c r="E482" s="66"/>
      <c r="F482" s="60">
        <f t="shared" ref="F482:H483" si="119">F483</f>
        <v>14850</v>
      </c>
      <c r="G482" s="60">
        <f t="shared" si="119"/>
        <v>11351.86924</v>
      </c>
      <c r="H482" s="60">
        <f t="shared" si="119"/>
        <v>14850</v>
      </c>
      <c r="I482" s="60">
        <f t="shared" si="109"/>
        <v>100</v>
      </c>
    </row>
    <row r="483" spans="1:9" s="118" customFormat="1" ht="24">
      <c r="A483" s="58" t="s">
        <v>222</v>
      </c>
      <c r="B483" s="59" t="s">
        <v>376</v>
      </c>
      <c r="C483" s="59" t="s">
        <v>376</v>
      </c>
      <c r="D483" s="59" t="s">
        <v>114</v>
      </c>
      <c r="E483" s="66"/>
      <c r="F483" s="60">
        <f t="shared" si="119"/>
        <v>14850</v>
      </c>
      <c r="G483" s="60">
        <f t="shared" si="119"/>
        <v>11351.86924</v>
      </c>
      <c r="H483" s="60">
        <f t="shared" si="119"/>
        <v>14850</v>
      </c>
      <c r="I483" s="60">
        <f t="shared" si="109"/>
        <v>100</v>
      </c>
    </row>
    <row r="484" spans="1:9" s="118" customFormat="1" ht="24">
      <c r="A484" s="70" t="s">
        <v>364</v>
      </c>
      <c r="B484" s="71" t="s">
        <v>376</v>
      </c>
      <c r="C484" s="71" t="s">
        <v>376</v>
      </c>
      <c r="D484" s="71" t="s">
        <v>114</v>
      </c>
      <c r="E484" s="71"/>
      <c r="F484" s="72">
        <f>F485+F488</f>
        <v>14850</v>
      </c>
      <c r="G484" s="72">
        <f>G485+G488</f>
        <v>11351.86924</v>
      </c>
      <c r="H484" s="72">
        <f>H485+H488</f>
        <v>14850</v>
      </c>
      <c r="I484" s="72">
        <f t="shared" si="109"/>
        <v>100</v>
      </c>
    </row>
    <row r="485" spans="1:9" s="118" customFormat="1">
      <c r="A485" s="73" t="s">
        <v>347</v>
      </c>
      <c r="B485" s="59" t="s">
        <v>376</v>
      </c>
      <c r="C485" s="59" t="s">
        <v>376</v>
      </c>
      <c r="D485" s="59" t="s">
        <v>442</v>
      </c>
      <c r="E485" s="59"/>
      <c r="F485" s="60">
        <f t="shared" ref="F485:H486" si="120">F486</f>
        <v>13900</v>
      </c>
      <c r="G485" s="60">
        <f t="shared" si="120"/>
        <v>10595.808940000001</v>
      </c>
      <c r="H485" s="60">
        <f t="shared" si="120"/>
        <v>13900</v>
      </c>
      <c r="I485" s="60">
        <f t="shared" si="109"/>
        <v>100</v>
      </c>
    </row>
    <row r="486" spans="1:9" s="118" customFormat="1" ht="24">
      <c r="A486" s="65" t="s">
        <v>72</v>
      </c>
      <c r="B486" s="66" t="s">
        <v>376</v>
      </c>
      <c r="C486" s="66" t="s">
        <v>376</v>
      </c>
      <c r="D486" s="66" t="s">
        <v>442</v>
      </c>
      <c r="E486" s="66" t="s">
        <v>73</v>
      </c>
      <c r="F486" s="67">
        <f t="shared" si="120"/>
        <v>13900</v>
      </c>
      <c r="G486" s="67">
        <f t="shared" si="120"/>
        <v>10595.808940000001</v>
      </c>
      <c r="H486" s="67">
        <f t="shared" si="120"/>
        <v>13900</v>
      </c>
      <c r="I486" s="67">
        <f t="shared" si="109"/>
        <v>100</v>
      </c>
    </row>
    <row r="487" spans="1:9" s="118" customFormat="1">
      <c r="A487" s="65" t="s">
        <v>74</v>
      </c>
      <c r="B487" s="66" t="s">
        <v>376</v>
      </c>
      <c r="C487" s="66" t="s">
        <v>376</v>
      </c>
      <c r="D487" s="66" t="s">
        <v>442</v>
      </c>
      <c r="E487" s="66" t="s">
        <v>75</v>
      </c>
      <c r="F487" s="67">
        <f>10600+100+3200</f>
        <v>13900</v>
      </c>
      <c r="G487" s="67">
        <v>10595.808940000001</v>
      </c>
      <c r="H487" s="67">
        <f>10600+100+3200</f>
        <v>13900</v>
      </c>
      <c r="I487" s="67">
        <f t="shared" si="109"/>
        <v>100</v>
      </c>
    </row>
    <row r="488" spans="1:9" s="118" customFormat="1">
      <c r="A488" s="58" t="s">
        <v>76</v>
      </c>
      <c r="B488" s="59" t="s">
        <v>376</v>
      </c>
      <c r="C488" s="59" t="s">
        <v>376</v>
      </c>
      <c r="D488" s="59" t="s">
        <v>443</v>
      </c>
      <c r="E488" s="59"/>
      <c r="F488" s="60">
        <f>F489+F491</f>
        <v>950</v>
      </c>
      <c r="G488" s="60">
        <f>G489+G491</f>
        <v>756.06029999999998</v>
      </c>
      <c r="H488" s="60">
        <f>H489+H491</f>
        <v>950</v>
      </c>
      <c r="I488" s="60">
        <f t="shared" si="109"/>
        <v>100</v>
      </c>
    </row>
    <row r="489" spans="1:9" s="118" customFormat="1">
      <c r="A489" s="65" t="s">
        <v>486</v>
      </c>
      <c r="B489" s="66" t="s">
        <v>376</v>
      </c>
      <c r="C489" s="66" t="s">
        <v>376</v>
      </c>
      <c r="D489" s="66" t="s">
        <v>443</v>
      </c>
      <c r="E489" s="66" t="s">
        <v>77</v>
      </c>
      <c r="F489" s="67">
        <f>F490</f>
        <v>920</v>
      </c>
      <c r="G489" s="67">
        <f>G490</f>
        <v>755.34929999999997</v>
      </c>
      <c r="H489" s="67">
        <f>H490</f>
        <v>920</v>
      </c>
      <c r="I489" s="67">
        <f t="shared" si="109"/>
        <v>100</v>
      </c>
    </row>
    <row r="490" spans="1:9" s="118" customFormat="1">
      <c r="A490" s="65" t="s">
        <v>78</v>
      </c>
      <c r="B490" s="66" t="s">
        <v>376</v>
      </c>
      <c r="C490" s="66" t="s">
        <v>376</v>
      </c>
      <c r="D490" s="66" t="s">
        <v>443</v>
      </c>
      <c r="E490" s="66" t="s">
        <v>79</v>
      </c>
      <c r="F490" s="67">
        <f>920</f>
        <v>920</v>
      </c>
      <c r="G490" s="67">
        <v>755.34929999999997</v>
      </c>
      <c r="H490" s="67">
        <f>920</f>
        <v>920</v>
      </c>
      <c r="I490" s="67">
        <f t="shared" si="109"/>
        <v>100</v>
      </c>
    </row>
    <row r="491" spans="1:9" s="118" customFormat="1">
      <c r="A491" s="65" t="s">
        <v>80</v>
      </c>
      <c r="B491" s="66" t="s">
        <v>376</v>
      </c>
      <c r="C491" s="66" t="s">
        <v>376</v>
      </c>
      <c r="D491" s="66" t="s">
        <v>443</v>
      </c>
      <c r="E491" s="66" t="s">
        <v>81</v>
      </c>
      <c r="F491" s="67">
        <f>F492</f>
        <v>30</v>
      </c>
      <c r="G491" s="67">
        <f>G492</f>
        <v>0.71099999999999997</v>
      </c>
      <c r="H491" s="67">
        <f>H492</f>
        <v>30</v>
      </c>
      <c r="I491" s="67">
        <f t="shared" si="109"/>
        <v>100</v>
      </c>
    </row>
    <row r="492" spans="1:9" s="118" customFormat="1">
      <c r="A492" s="65" t="s">
        <v>445</v>
      </c>
      <c r="B492" s="66" t="s">
        <v>376</v>
      </c>
      <c r="C492" s="66" t="s">
        <v>376</v>
      </c>
      <c r="D492" s="66" t="s">
        <v>443</v>
      </c>
      <c r="E492" s="66" t="s">
        <v>82</v>
      </c>
      <c r="F492" s="67">
        <f>30</f>
        <v>30</v>
      </c>
      <c r="G492" s="67">
        <v>0.71099999999999997</v>
      </c>
      <c r="H492" s="67">
        <f>30</f>
        <v>30</v>
      </c>
      <c r="I492" s="67">
        <f t="shared" si="109"/>
        <v>100</v>
      </c>
    </row>
    <row r="493" spans="1:9" s="118" customFormat="1">
      <c r="A493" s="85" t="s">
        <v>55</v>
      </c>
      <c r="B493" s="59" t="s">
        <v>376</v>
      </c>
      <c r="C493" s="59" t="s">
        <v>376</v>
      </c>
      <c r="D493" s="86" t="s">
        <v>653</v>
      </c>
      <c r="E493" s="59"/>
      <c r="F493" s="60">
        <f>F494</f>
        <v>14377.3</v>
      </c>
      <c r="G493" s="60">
        <f>G494</f>
        <v>11338.6139</v>
      </c>
      <c r="H493" s="60">
        <f>H494</f>
        <v>14377.3</v>
      </c>
      <c r="I493" s="60">
        <f t="shared" si="109"/>
        <v>100</v>
      </c>
    </row>
    <row r="494" spans="1:9" s="118" customFormat="1">
      <c r="A494" s="87" t="s">
        <v>425</v>
      </c>
      <c r="B494" s="83" t="s">
        <v>376</v>
      </c>
      <c r="C494" s="83" t="s">
        <v>376</v>
      </c>
      <c r="D494" s="83" t="s">
        <v>653</v>
      </c>
      <c r="E494" s="83"/>
      <c r="F494" s="88">
        <f>F495+F497+F499</f>
        <v>14377.3</v>
      </c>
      <c r="G494" s="88">
        <f>G495+G497+G499</f>
        <v>11338.6139</v>
      </c>
      <c r="H494" s="88">
        <f>H495+H497+H499</f>
        <v>14377.3</v>
      </c>
      <c r="I494" s="88">
        <f t="shared" si="109"/>
        <v>100</v>
      </c>
    </row>
    <row r="495" spans="1:9" s="118" customFormat="1" ht="24">
      <c r="A495" s="65" t="s">
        <v>72</v>
      </c>
      <c r="B495" s="66" t="s">
        <v>376</v>
      </c>
      <c r="C495" s="66" t="s">
        <v>376</v>
      </c>
      <c r="D495" s="66" t="s">
        <v>653</v>
      </c>
      <c r="E495" s="66" t="s">
        <v>73</v>
      </c>
      <c r="F495" s="67">
        <f>F496</f>
        <v>10111.9</v>
      </c>
      <c r="G495" s="67">
        <f>G496</f>
        <v>7949.3684300000004</v>
      </c>
      <c r="H495" s="67">
        <f>H496</f>
        <v>10111.9</v>
      </c>
      <c r="I495" s="67">
        <f t="shared" si="109"/>
        <v>100</v>
      </c>
    </row>
    <row r="496" spans="1:9" s="118" customFormat="1">
      <c r="A496" s="65" t="s">
        <v>426</v>
      </c>
      <c r="B496" s="66" t="s">
        <v>376</v>
      </c>
      <c r="C496" s="66" t="s">
        <v>376</v>
      </c>
      <c r="D496" s="66" t="s">
        <v>653</v>
      </c>
      <c r="E496" s="66" t="s">
        <v>427</v>
      </c>
      <c r="F496" s="67">
        <f>2900.5+50+876+2270+685-19.6+650+500+2200</f>
        <v>10111.9</v>
      </c>
      <c r="G496" s="67">
        <v>7949.3684300000004</v>
      </c>
      <c r="H496" s="67">
        <f>2900.5+50+876+2270+685-19.6+650+500+2200</f>
        <v>10111.9</v>
      </c>
      <c r="I496" s="67">
        <f t="shared" si="109"/>
        <v>100</v>
      </c>
    </row>
    <row r="497" spans="1:9" s="118" customFormat="1">
      <c r="A497" s="65" t="s">
        <v>486</v>
      </c>
      <c r="B497" s="66" t="s">
        <v>376</v>
      </c>
      <c r="C497" s="66" t="s">
        <v>376</v>
      </c>
      <c r="D497" s="66" t="s">
        <v>653</v>
      </c>
      <c r="E497" s="66" t="s">
        <v>77</v>
      </c>
      <c r="F497" s="67">
        <f>F498</f>
        <v>3362.4</v>
      </c>
      <c r="G497" s="67">
        <f>G498</f>
        <v>2690.2914700000001</v>
      </c>
      <c r="H497" s="67">
        <f>H498</f>
        <v>3362.4</v>
      </c>
      <c r="I497" s="67">
        <f t="shared" si="109"/>
        <v>100</v>
      </c>
    </row>
    <row r="498" spans="1:9" s="118" customFormat="1">
      <c r="A498" s="65" t="s">
        <v>78</v>
      </c>
      <c r="B498" s="66" t="s">
        <v>376</v>
      </c>
      <c r="C498" s="66" t="s">
        <v>376</v>
      </c>
      <c r="D498" s="66" t="s">
        <v>653</v>
      </c>
      <c r="E498" s="66" t="s">
        <v>79</v>
      </c>
      <c r="F498" s="67">
        <f>78.7+83.2+70+198.5+50+6+80+45+75+5+682+2140-650+500-1</f>
        <v>3362.4</v>
      </c>
      <c r="G498" s="67">
        <v>2690.2914700000001</v>
      </c>
      <c r="H498" s="67">
        <f>78.7+83.2+70+198.5+50+6+80+45+75+5+682+2140-650+500-1</f>
        <v>3362.4</v>
      </c>
      <c r="I498" s="67">
        <f t="shared" si="109"/>
        <v>100</v>
      </c>
    </row>
    <row r="499" spans="1:9" s="118" customFormat="1">
      <c r="A499" s="65" t="s">
        <v>80</v>
      </c>
      <c r="B499" s="66" t="s">
        <v>376</v>
      </c>
      <c r="C499" s="66" t="s">
        <v>376</v>
      </c>
      <c r="D499" s="66" t="s">
        <v>653</v>
      </c>
      <c r="E499" s="66" t="s">
        <v>81</v>
      </c>
      <c r="F499" s="67">
        <f>F500</f>
        <v>903</v>
      </c>
      <c r="G499" s="67">
        <f>G500</f>
        <v>698.95399999999995</v>
      </c>
      <c r="H499" s="67">
        <f>H500</f>
        <v>903</v>
      </c>
      <c r="I499" s="67">
        <f t="shared" si="109"/>
        <v>100</v>
      </c>
    </row>
    <row r="500" spans="1:9" s="118" customFormat="1">
      <c r="A500" s="65" t="s">
        <v>445</v>
      </c>
      <c r="B500" s="66" t="s">
        <v>376</v>
      </c>
      <c r="C500" s="66" t="s">
        <v>376</v>
      </c>
      <c r="D500" s="66" t="s">
        <v>653</v>
      </c>
      <c r="E500" s="66" t="s">
        <v>82</v>
      </c>
      <c r="F500" s="67">
        <f>890+12+1</f>
        <v>903</v>
      </c>
      <c r="G500" s="67">
        <v>698.95399999999995</v>
      </c>
      <c r="H500" s="67">
        <f>890+12+1</f>
        <v>903</v>
      </c>
      <c r="I500" s="67">
        <f t="shared" si="109"/>
        <v>100</v>
      </c>
    </row>
    <row r="501" spans="1:9" s="118" customFormat="1" ht="24">
      <c r="A501" s="70" t="s">
        <v>364</v>
      </c>
      <c r="B501" s="71" t="s">
        <v>376</v>
      </c>
      <c r="C501" s="71" t="s">
        <v>376</v>
      </c>
      <c r="D501" s="71"/>
      <c r="E501" s="71"/>
      <c r="F501" s="72">
        <f t="shared" ref="F501:H502" si="121">F502</f>
        <v>7941.9140299999999</v>
      </c>
      <c r="G501" s="72">
        <f t="shared" si="121"/>
        <v>6798.2786400000005</v>
      </c>
      <c r="H501" s="72">
        <f t="shared" si="121"/>
        <v>7941.9140299999999</v>
      </c>
      <c r="I501" s="72">
        <f t="shared" si="109"/>
        <v>100</v>
      </c>
    </row>
    <row r="502" spans="1:9" s="118" customFormat="1">
      <c r="A502" s="89" t="s">
        <v>67</v>
      </c>
      <c r="B502" s="71" t="s">
        <v>376</v>
      </c>
      <c r="C502" s="71" t="s">
        <v>376</v>
      </c>
      <c r="D502" s="71" t="s">
        <v>187</v>
      </c>
      <c r="E502" s="71"/>
      <c r="F502" s="72">
        <f t="shared" si="121"/>
        <v>7941.9140299999999</v>
      </c>
      <c r="G502" s="72">
        <f t="shared" si="121"/>
        <v>6798.2786400000005</v>
      </c>
      <c r="H502" s="72">
        <f t="shared" si="121"/>
        <v>7941.9140299999999</v>
      </c>
      <c r="I502" s="72">
        <f t="shared" si="109"/>
        <v>100</v>
      </c>
    </row>
    <row r="503" spans="1:9" s="118" customFormat="1">
      <c r="A503" s="73" t="s">
        <v>272</v>
      </c>
      <c r="B503" s="59" t="s">
        <v>376</v>
      </c>
      <c r="C503" s="59" t="s">
        <v>376</v>
      </c>
      <c r="D503" s="59" t="s">
        <v>188</v>
      </c>
      <c r="E503" s="66"/>
      <c r="F503" s="60">
        <f>F504+F507+F512+F515</f>
        <v>7941.9140299999999</v>
      </c>
      <c r="G503" s="60">
        <f>G504+G507+G512+G515</f>
        <v>6798.2786400000005</v>
      </c>
      <c r="H503" s="60">
        <f>H504+H507+H512+H515</f>
        <v>7941.9140299999999</v>
      </c>
      <c r="I503" s="60">
        <f t="shared" si="109"/>
        <v>100</v>
      </c>
    </row>
    <row r="504" spans="1:9" s="118" customFormat="1">
      <c r="A504" s="73" t="s">
        <v>347</v>
      </c>
      <c r="B504" s="59" t="s">
        <v>376</v>
      </c>
      <c r="C504" s="59" t="s">
        <v>376</v>
      </c>
      <c r="D504" s="59" t="s">
        <v>189</v>
      </c>
      <c r="E504" s="59"/>
      <c r="F504" s="60">
        <f t="shared" ref="F504:H505" si="122">F505</f>
        <v>5938</v>
      </c>
      <c r="G504" s="60">
        <f t="shared" si="122"/>
        <v>5037.94902</v>
      </c>
      <c r="H504" s="60">
        <f t="shared" si="122"/>
        <v>5938</v>
      </c>
      <c r="I504" s="60">
        <f t="shared" si="109"/>
        <v>100</v>
      </c>
    </row>
    <row r="505" spans="1:9" s="118" customFormat="1" ht="24">
      <c r="A505" s="65" t="s">
        <v>72</v>
      </c>
      <c r="B505" s="66" t="s">
        <v>376</v>
      </c>
      <c r="C505" s="66" t="s">
        <v>376</v>
      </c>
      <c r="D505" s="66" t="s">
        <v>189</v>
      </c>
      <c r="E505" s="66" t="s">
        <v>73</v>
      </c>
      <c r="F505" s="67">
        <f t="shared" si="122"/>
        <v>5938</v>
      </c>
      <c r="G505" s="67">
        <f t="shared" si="122"/>
        <v>5037.94902</v>
      </c>
      <c r="H505" s="67">
        <f t="shared" si="122"/>
        <v>5938</v>
      </c>
      <c r="I505" s="67">
        <f t="shared" ref="I505:I568" si="123">H505/F505*100</f>
        <v>100</v>
      </c>
    </row>
    <row r="506" spans="1:9" s="118" customFormat="1">
      <c r="A506" s="65" t="s">
        <v>74</v>
      </c>
      <c r="B506" s="66" t="s">
        <v>376</v>
      </c>
      <c r="C506" s="66" t="s">
        <v>376</v>
      </c>
      <c r="D506" s="66" t="s">
        <v>189</v>
      </c>
      <c r="E506" s="66" t="s">
        <v>75</v>
      </c>
      <c r="F506" s="67">
        <f>5838+100</f>
        <v>5938</v>
      </c>
      <c r="G506" s="67">
        <v>5037.94902</v>
      </c>
      <c r="H506" s="67">
        <f>5838+100</f>
        <v>5938</v>
      </c>
      <c r="I506" s="67">
        <f t="shared" si="123"/>
        <v>100</v>
      </c>
    </row>
    <row r="507" spans="1:9" s="118" customFormat="1">
      <c r="A507" s="58" t="s">
        <v>76</v>
      </c>
      <c r="B507" s="59" t="s">
        <v>376</v>
      </c>
      <c r="C507" s="59" t="s">
        <v>376</v>
      </c>
      <c r="D507" s="59" t="s">
        <v>190</v>
      </c>
      <c r="E507" s="59"/>
      <c r="F507" s="60">
        <f>F508+F510</f>
        <v>1159.28306</v>
      </c>
      <c r="G507" s="60">
        <f>G508+G510</f>
        <v>968.35300000000007</v>
      </c>
      <c r="H507" s="60">
        <f>H508+H510</f>
        <v>1159.28306</v>
      </c>
      <c r="I507" s="60">
        <f t="shared" si="123"/>
        <v>100</v>
      </c>
    </row>
    <row r="508" spans="1:9" s="118" customFormat="1">
      <c r="A508" s="65" t="s">
        <v>486</v>
      </c>
      <c r="B508" s="66" t="s">
        <v>376</v>
      </c>
      <c r="C508" s="66" t="s">
        <v>376</v>
      </c>
      <c r="D508" s="66" t="s">
        <v>190</v>
      </c>
      <c r="E508" s="66" t="s">
        <v>77</v>
      </c>
      <c r="F508" s="67">
        <f>F509</f>
        <v>610</v>
      </c>
      <c r="G508" s="67">
        <f>G509</f>
        <v>487.82400000000001</v>
      </c>
      <c r="H508" s="67">
        <f>H509</f>
        <v>610</v>
      </c>
      <c r="I508" s="67">
        <f t="shared" si="123"/>
        <v>100</v>
      </c>
    </row>
    <row r="509" spans="1:9" s="118" customFormat="1">
      <c r="A509" s="65" t="s">
        <v>78</v>
      </c>
      <c r="B509" s="66" t="s">
        <v>376</v>
      </c>
      <c r="C509" s="66" t="s">
        <v>376</v>
      </c>
      <c r="D509" s="66" t="s">
        <v>190</v>
      </c>
      <c r="E509" s="66" t="s">
        <v>79</v>
      </c>
      <c r="F509" s="67">
        <f>610</f>
        <v>610</v>
      </c>
      <c r="G509" s="67">
        <v>487.82400000000001</v>
      </c>
      <c r="H509" s="67">
        <f>610</f>
        <v>610</v>
      </c>
      <c r="I509" s="67">
        <f t="shared" si="123"/>
        <v>100</v>
      </c>
    </row>
    <row r="510" spans="1:9" s="118" customFormat="1">
      <c r="A510" s="65" t="s">
        <v>80</v>
      </c>
      <c r="B510" s="66" t="s">
        <v>376</v>
      </c>
      <c r="C510" s="66" t="s">
        <v>376</v>
      </c>
      <c r="D510" s="66" t="s">
        <v>190</v>
      </c>
      <c r="E510" s="66" t="s">
        <v>81</v>
      </c>
      <c r="F510" s="67">
        <f>F511</f>
        <v>549.28305999999998</v>
      </c>
      <c r="G510" s="67">
        <f>G511</f>
        <v>480.529</v>
      </c>
      <c r="H510" s="67">
        <f>H511</f>
        <v>549.28305999999998</v>
      </c>
      <c r="I510" s="67">
        <f t="shared" si="123"/>
        <v>100</v>
      </c>
    </row>
    <row r="511" spans="1:9" s="118" customFormat="1">
      <c r="A511" s="65" t="s">
        <v>445</v>
      </c>
      <c r="B511" s="66" t="s">
        <v>376</v>
      </c>
      <c r="C511" s="66" t="s">
        <v>376</v>
      </c>
      <c r="D511" s="66" t="s">
        <v>190</v>
      </c>
      <c r="E511" s="66" t="s">
        <v>82</v>
      </c>
      <c r="F511" s="67">
        <f>75+474.28306</f>
        <v>549.28305999999998</v>
      </c>
      <c r="G511" s="67">
        <v>480.529</v>
      </c>
      <c r="H511" s="67">
        <f>75+474.28306</f>
        <v>549.28305999999998</v>
      </c>
      <c r="I511" s="67">
        <f t="shared" si="123"/>
        <v>100</v>
      </c>
    </row>
    <row r="512" spans="1:9" s="118" customFormat="1" ht="24">
      <c r="A512" s="70" t="s">
        <v>720</v>
      </c>
      <c r="B512" s="71" t="s">
        <v>376</v>
      </c>
      <c r="C512" s="71" t="s">
        <v>376</v>
      </c>
      <c r="D512" s="71" t="s">
        <v>721</v>
      </c>
      <c r="E512" s="71"/>
      <c r="F512" s="72">
        <f t="shared" ref="F512:H513" si="124">F513</f>
        <v>13.086970000000001</v>
      </c>
      <c r="G512" s="72">
        <f t="shared" si="124"/>
        <v>13.086970000000001</v>
      </c>
      <c r="H512" s="72">
        <f t="shared" si="124"/>
        <v>13.086970000000001</v>
      </c>
      <c r="I512" s="72">
        <f t="shared" si="123"/>
        <v>100</v>
      </c>
    </row>
    <row r="513" spans="1:9" s="118" customFormat="1" ht="24">
      <c r="A513" s="65" t="s">
        <v>72</v>
      </c>
      <c r="B513" s="66" t="s">
        <v>376</v>
      </c>
      <c r="C513" s="66" t="s">
        <v>376</v>
      </c>
      <c r="D513" s="66" t="s">
        <v>721</v>
      </c>
      <c r="E513" s="66" t="s">
        <v>73</v>
      </c>
      <c r="F513" s="67">
        <f t="shared" si="124"/>
        <v>13.086970000000001</v>
      </c>
      <c r="G513" s="67">
        <f t="shared" si="124"/>
        <v>13.086970000000001</v>
      </c>
      <c r="H513" s="67">
        <f t="shared" si="124"/>
        <v>13.086970000000001</v>
      </c>
      <c r="I513" s="67">
        <f t="shared" si="123"/>
        <v>100</v>
      </c>
    </row>
    <row r="514" spans="1:9" s="118" customFormat="1">
      <c r="A514" s="65" t="s">
        <v>74</v>
      </c>
      <c r="B514" s="66" t="s">
        <v>376</v>
      </c>
      <c r="C514" s="66" t="s">
        <v>376</v>
      </c>
      <c r="D514" s="66" t="s">
        <v>721</v>
      </c>
      <c r="E514" s="66" t="s">
        <v>75</v>
      </c>
      <c r="F514" s="67">
        <v>13.086970000000001</v>
      </c>
      <c r="G514" s="67">
        <v>13.086970000000001</v>
      </c>
      <c r="H514" s="67">
        <v>13.086970000000001</v>
      </c>
      <c r="I514" s="67">
        <f t="shared" si="123"/>
        <v>100</v>
      </c>
    </row>
    <row r="515" spans="1:9" s="209" customFormat="1">
      <c r="A515" s="133" t="s">
        <v>774</v>
      </c>
      <c r="B515" s="132" t="s">
        <v>376</v>
      </c>
      <c r="C515" s="132" t="s">
        <v>376</v>
      </c>
      <c r="D515" s="132" t="s">
        <v>769</v>
      </c>
      <c r="E515" s="132"/>
      <c r="F515" s="158">
        <f t="shared" ref="F515:H516" si="125">F516</f>
        <v>831.54399999999998</v>
      </c>
      <c r="G515" s="158">
        <f t="shared" si="125"/>
        <v>778.88964999999996</v>
      </c>
      <c r="H515" s="158">
        <f t="shared" si="125"/>
        <v>831.54399999999998</v>
      </c>
      <c r="I515" s="158">
        <f t="shared" si="123"/>
        <v>100</v>
      </c>
    </row>
    <row r="516" spans="1:9" s="209" customFormat="1" ht="24">
      <c r="A516" s="131" t="s">
        <v>72</v>
      </c>
      <c r="B516" s="22" t="s">
        <v>376</v>
      </c>
      <c r="C516" s="22" t="s">
        <v>376</v>
      </c>
      <c r="D516" s="22" t="s">
        <v>769</v>
      </c>
      <c r="E516" s="22" t="s">
        <v>73</v>
      </c>
      <c r="F516" s="156">
        <f t="shared" si="125"/>
        <v>831.54399999999998</v>
      </c>
      <c r="G516" s="156">
        <f t="shared" si="125"/>
        <v>778.88964999999996</v>
      </c>
      <c r="H516" s="156">
        <f t="shared" si="125"/>
        <v>831.54399999999998</v>
      </c>
      <c r="I516" s="156">
        <f t="shared" si="123"/>
        <v>100</v>
      </c>
    </row>
    <row r="517" spans="1:9" s="209" customFormat="1">
      <c r="A517" s="131" t="s">
        <v>74</v>
      </c>
      <c r="B517" s="22" t="s">
        <v>376</v>
      </c>
      <c r="C517" s="22" t="s">
        <v>376</v>
      </c>
      <c r="D517" s="22" t="s">
        <v>769</v>
      </c>
      <c r="E517" s="22" t="s">
        <v>75</v>
      </c>
      <c r="F517" s="156">
        <f>229.785+222.034+379.725</f>
        <v>831.54399999999998</v>
      </c>
      <c r="G517" s="156">
        <v>778.88964999999996</v>
      </c>
      <c r="H517" s="156">
        <f>229.785+222.034+379.725</f>
        <v>831.54399999999998</v>
      </c>
      <c r="I517" s="156">
        <f t="shared" si="123"/>
        <v>100</v>
      </c>
    </row>
    <row r="518" spans="1:9" s="118" customFormat="1">
      <c r="A518" s="58" t="s">
        <v>338</v>
      </c>
      <c r="B518" s="59" t="s">
        <v>430</v>
      </c>
      <c r="C518" s="59" t="s">
        <v>70</v>
      </c>
      <c r="D518" s="66"/>
      <c r="E518" s="66"/>
      <c r="F518" s="78">
        <f>F519+F534+F562+F575+F599</f>
        <v>3263503.8104999997</v>
      </c>
      <c r="G518" s="78">
        <f>G519+G534+G562+G575+G599</f>
        <v>2632566.7092710002</v>
      </c>
      <c r="H518" s="78">
        <f>H519+H534+H562+H575+H599</f>
        <v>3261918.8104999997</v>
      </c>
      <c r="I518" s="78">
        <f t="shared" si="123"/>
        <v>99.951432567815601</v>
      </c>
    </row>
    <row r="519" spans="1:9" s="118" customFormat="1">
      <c r="A519" s="58" t="s">
        <v>339</v>
      </c>
      <c r="B519" s="59" t="s">
        <v>430</v>
      </c>
      <c r="C519" s="59" t="s">
        <v>69</v>
      </c>
      <c r="D519" s="59"/>
      <c r="E519" s="59"/>
      <c r="F519" s="60">
        <f>F520+F530</f>
        <v>1281019.702</v>
      </c>
      <c r="G519" s="60">
        <f>G520+G530</f>
        <v>1047611.372</v>
      </c>
      <c r="H519" s="60">
        <f>H520+H530</f>
        <v>1281019.702</v>
      </c>
      <c r="I519" s="60">
        <f t="shared" si="123"/>
        <v>100</v>
      </c>
    </row>
    <row r="520" spans="1:9" s="118" customFormat="1" ht="13.5">
      <c r="A520" s="69" t="s">
        <v>673</v>
      </c>
      <c r="B520" s="61" t="s">
        <v>430</v>
      </c>
      <c r="C520" s="61" t="s">
        <v>69</v>
      </c>
      <c r="D520" s="61" t="s">
        <v>139</v>
      </c>
      <c r="E520" s="61"/>
      <c r="F520" s="62">
        <f>F521</f>
        <v>1280019.702</v>
      </c>
      <c r="G520" s="62">
        <f>G521</f>
        <v>1047611.372</v>
      </c>
      <c r="H520" s="62">
        <f>H521</f>
        <v>1280019.702</v>
      </c>
      <c r="I520" s="62">
        <f t="shared" si="123"/>
        <v>100</v>
      </c>
    </row>
    <row r="521" spans="1:9" s="118" customFormat="1">
      <c r="A521" s="58" t="s">
        <v>244</v>
      </c>
      <c r="B521" s="59" t="s">
        <v>430</v>
      </c>
      <c r="C521" s="59" t="s">
        <v>69</v>
      </c>
      <c r="D521" s="59" t="s">
        <v>140</v>
      </c>
      <c r="E521" s="59"/>
      <c r="F521" s="60">
        <f>F522+F526</f>
        <v>1280019.702</v>
      </c>
      <c r="G521" s="60">
        <f>G522+G526</f>
        <v>1047611.372</v>
      </c>
      <c r="H521" s="60">
        <f>H522+H526</f>
        <v>1280019.702</v>
      </c>
      <c r="I521" s="60">
        <f t="shared" si="123"/>
        <v>100</v>
      </c>
    </row>
    <row r="522" spans="1:9" s="118" customFormat="1" ht="24">
      <c r="A522" s="70" t="s">
        <v>245</v>
      </c>
      <c r="B522" s="71" t="s">
        <v>430</v>
      </c>
      <c r="C522" s="71" t="s">
        <v>69</v>
      </c>
      <c r="D522" s="71" t="s">
        <v>141</v>
      </c>
      <c r="E522" s="71"/>
      <c r="F522" s="72">
        <f>F523</f>
        <v>488009.70199999999</v>
      </c>
      <c r="G522" s="72">
        <f>G523</f>
        <v>387357.19096000004</v>
      </c>
      <c r="H522" s="72">
        <f>H523</f>
        <v>488009.70199999999</v>
      </c>
      <c r="I522" s="72">
        <f t="shared" si="123"/>
        <v>100</v>
      </c>
    </row>
    <row r="523" spans="1:9" s="118" customFormat="1">
      <c r="A523" s="65" t="s">
        <v>94</v>
      </c>
      <c r="B523" s="66" t="s">
        <v>430</v>
      </c>
      <c r="C523" s="66" t="s">
        <v>69</v>
      </c>
      <c r="D523" s="66" t="s">
        <v>659</v>
      </c>
      <c r="E523" s="66" t="s">
        <v>362</v>
      </c>
      <c r="F523" s="67">
        <f>F524+F525</f>
        <v>488009.70199999999</v>
      </c>
      <c r="G523" s="67">
        <f>G524+G525</f>
        <v>387357.19096000004</v>
      </c>
      <c r="H523" s="67">
        <f>H524+H525</f>
        <v>488009.70199999999</v>
      </c>
      <c r="I523" s="67">
        <f t="shared" si="123"/>
        <v>100</v>
      </c>
    </row>
    <row r="524" spans="1:9" s="118" customFormat="1">
      <c r="A524" s="65" t="s">
        <v>95</v>
      </c>
      <c r="B524" s="66" t="s">
        <v>430</v>
      </c>
      <c r="C524" s="66" t="s">
        <v>69</v>
      </c>
      <c r="D524" s="66" t="s">
        <v>659</v>
      </c>
      <c r="E524" s="66" t="s">
        <v>371</v>
      </c>
      <c r="F524" s="67">
        <f>438900-34000-2098.54288+25544-5955-4500+7322.553+340.602</f>
        <v>425553.61212000001</v>
      </c>
      <c r="G524" s="67">
        <v>343005.94884000003</v>
      </c>
      <c r="H524" s="67">
        <f>438900-34000-2098.54288+25544-5955-4500+7322.553+340.602</f>
        <v>425553.61212000001</v>
      </c>
      <c r="I524" s="67">
        <f t="shared" si="123"/>
        <v>100</v>
      </c>
    </row>
    <row r="525" spans="1:9" s="118" customFormat="1">
      <c r="A525" s="65" t="s">
        <v>447</v>
      </c>
      <c r="B525" s="66" t="s">
        <v>430</v>
      </c>
      <c r="C525" s="66" t="s">
        <v>69</v>
      </c>
      <c r="D525" s="66" t="s">
        <v>659</v>
      </c>
      <c r="E525" s="66" t="s">
        <v>448</v>
      </c>
      <c r="F525" s="67">
        <f>50255.5-2275.4+2098.54288+8500-800+4677.447</f>
        <v>62456.08988</v>
      </c>
      <c r="G525" s="67">
        <v>44351.242120000003</v>
      </c>
      <c r="H525" s="67">
        <f>50255.5-2275.4+2098.54288+8500-800+4677.447</f>
        <v>62456.08988</v>
      </c>
      <c r="I525" s="67">
        <f t="shared" si="123"/>
        <v>100</v>
      </c>
    </row>
    <row r="526" spans="1:9" s="118" customFormat="1" ht="36">
      <c r="A526" s="70" t="s">
        <v>322</v>
      </c>
      <c r="B526" s="71" t="s">
        <v>430</v>
      </c>
      <c r="C526" s="71" t="s">
        <v>69</v>
      </c>
      <c r="D526" s="71" t="s">
        <v>142</v>
      </c>
      <c r="E526" s="71"/>
      <c r="F526" s="80">
        <f>F527</f>
        <v>792010</v>
      </c>
      <c r="G526" s="80">
        <f>G527</f>
        <v>660254.18103999994</v>
      </c>
      <c r="H526" s="80">
        <f>H527</f>
        <v>792010</v>
      </c>
      <c r="I526" s="80">
        <f t="shared" si="123"/>
        <v>100</v>
      </c>
    </row>
    <row r="527" spans="1:9" s="118" customFormat="1">
      <c r="A527" s="65" t="s">
        <v>94</v>
      </c>
      <c r="B527" s="66" t="s">
        <v>430</v>
      </c>
      <c r="C527" s="66" t="s">
        <v>69</v>
      </c>
      <c r="D527" s="66" t="s">
        <v>142</v>
      </c>
      <c r="E527" s="66" t="s">
        <v>362</v>
      </c>
      <c r="F527" s="79">
        <f>F528+F529</f>
        <v>792010</v>
      </c>
      <c r="G527" s="79">
        <f>G528+G529</f>
        <v>660254.18103999994</v>
      </c>
      <c r="H527" s="79">
        <f>H528+H529</f>
        <v>792010</v>
      </c>
      <c r="I527" s="79">
        <f t="shared" si="123"/>
        <v>100</v>
      </c>
    </row>
    <row r="528" spans="1:9" s="118" customFormat="1">
      <c r="A528" s="65" t="s">
        <v>95</v>
      </c>
      <c r="B528" s="66" t="s">
        <v>430</v>
      </c>
      <c r="C528" s="66" t="s">
        <v>69</v>
      </c>
      <c r="D528" s="66" t="s">
        <v>142</v>
      </c>
      <c r="E528" s="66" t="s">
        <v>371</v>
      </c>
      <c r="F528" s="79">
        <f>634157+89402.482</f>
        <v>723559.48199999996</v>
      </c>
      <c r="G528" s="79">
        <v>599370.24049999996</v>
      </c>
      <c r="H528" s="79">
        <f>634157+89402.482</f>
        <v>723559.48199999996</v>
      </c>
      <c r="I528" s="79">
        <f t="shared" si="123"/>
        <v>100</v>
      </c>
    </row>
    <row r="529" spans="1:9" s="118" customFormat="1">
      <c r="A529" s="65" t="s">
        <v>447</v>
      </c>
      <c r="B529" s="66" t="s">
        <v>430</v>
      </c>
      <c r="C529" s="66" t="s">
        <v>69</v>
      </c>
      <c r="D529" s="66" t="s">
        <v>142</v>
      </c>
      <c r="E529" s="66" t="s">
        <v>448</v>
      </c>
      <c r="F529" s="79">
        <f>65877+2573.518</f>
        <v>68450.517999999996</v>
      </c>
      <c r="G529" s="79">
        <v>60883.940540000003</v>
      </c>
      <c r="H529" s="79">
        <f>65877+2573.518</f>
        <v>68450.517999999996</v>
      </c>
      <c r="I529" s="79">
        <f t="shared" si="123"/>
        <v>100</v>
      </c>
    </row>
    <row r="530" spans="1:9" s="118" customFormat="1" ht="27">
      <c r="A530" s="69" t="s">
        <v>674</v>
      </c>
      <c r="B530" s="61" t="s">
        <v>430</v>
      </c>
      <c r="C530" s="61" t="s">
        <v>69</v>
      </c>
      <c r="D530" s="61" t="s">
        <v>243</v>
      </c>
      <c r="E530" s="61"/>
      <c r="F530" s="62">
        <f t="shared" ref="F530:H532" si="126">F531</f>
        <v>1000</v>
      </c>
      <c r="G530" s="332">
        <f t="shared" si="126"/>
        <v>0</v>
      </c>
      <c r="H530" s="62">
        <f t="shared" si="126"/>
        <v>1000</v>
      </c>
      <c r="I530" s="62">
        <f t="shared" si="123"/>
        <v>100</v>
      </c>
    </row>
    <row r="531" spans="1:9" s="118" customFormat="1" ht="36">
      <c r="A531" s="58" t="s">
        <v>36</v>
      </c>
      <c r="B531" s="59" t="s">
        <v>430</v>
      </c>
      <c r="C531" s="59" t="s">
        <v>69</v>
      </c>
      <c r="D531" s="59" t="s">
        <v>496</v>
      </c>
      <c r="E531" s="59"/>
      <c r="F531" s="60">
        <f t="shared" si="126"/>
        <v>1000</v>
      </c>
      <c r="G531" s="314">
        <f t="shared" si="126"/>
        <v>0</v>
      </c>
      <c r="H531" s="60">
        <f t="shared" si="126"/>
        <v>1000</v>
      </c>
      <c r="I531" s="60">
        <f t="shared" si="123"/>
        <v>100</v>
      </c>
    </row>
    <row r="532" spans="1:9" s="118" customFormat="1">
      <c r="A532" s="65" t="s">
        <v>486</v>
      </c>
      <c r="B532" s="66" t="s">
        <v>430</v>
      </c>
      <c r="C532" s="66" t="s">
        <v>69</v>
      </c>
      <c r="D532" s="66" t="s">
        <v>496</v>
      </c>
      <c r="E532" s="66" t="s">
        <v>77</v>
      </c>
      <c r="F532" s="67">
        <f t="shared" si="126"/>
        <v>1000</v>
      </c>
      <c r="G532" s="279">
        <f t="shared" si="126"/>
        <v>0</v>
      </c>
      <c r="H532" s="67">
        <f t="shared" si="126"/>
        <v>1000</v>
      </c>
      <c r="I532" s="67">
        <f t="shared" si="123"/>
        <v>100</v>
      </c>
    </row>
    <row r="533" spans="1:9" s="118" customFormat="1">
      <c r="A533" s="65" t="s">
        <v>78</v>
      </c>
      <c r="B533" s="66" t="s">
        <v>430</v>
      </c>
      <c r="C533" s="66" t="s">
        <v>69</v>
      </c>
      <c r="D533" s="66" t="s">
        <v>496</v>
      </c>
      <c r="E533" s="66" t="s">
        <v>79</v>
      </c>
      <c r="F533" s="67">
        <f>500+500</f>
        <v>1000</v>
      </c>
      <c r="G533" s="279">
        <v>0</v>
      </c>
      <c r="H533" s="67">
        <f>500+500</f>
        <v>1000</v>
      </c>
      <c r="I533" s="67">
        <f t="shared" si="123"/>
        <v>100</v>
      </c>
    </row>
    <row r="534" spans="1:9" s="118" customFormat="1">
      <c r="A534" s="58" t="s">
        <v>340</v>
      </c>
      <c r="B534" s="59" t="s">
        <v>430</v>
      </c>
      <c r="C534" s="59" t="s">
        <v>431</v>
      </c>
      <c r="D534" s="59"/>
      <c r="E534" s="71"/>
      <c r="F534" s="60">
        <f>F535</f>
        <v>1567558.6874999998</v>
      </c>
      <c r="G534" s="60">
        <f>G535</f>
        <v>1275541.20924</v>
      </c>
      <c r="H534" s="60">
        <f>H535</f>
        <v>1567558.6874999998</v>
      </c>
      <c r="I534" s="60">
        <f t="shared" si="123"/>
        <v>100</v>
      </c>
    </row>
    <row r="535" spans="1:9" s="118" customFormat="1" ht="13.5">
      <c r="A535" s="69" t="s">
        <v>673</v>
      </c>
      <c r="B535" s="61" t="s">
        <v>430</v>
      </c>
      <c r="C535" s="61" t="s">
        <v>431</v>
      </c>
      <c r="D535" s="61" t="s">
        <v>139</v>
      </c>
      <c r="E535" s="61"/>
      <c r="F535" s="62">
        <f>F536+F557</f>
        <v>1567558.6874999998</v>
      </c>
      <c r="G535" s="62">
        <f>G536+G557</f>
        <v>1275541.20924</v>
      </c>
      <c r="H535" s="62">
        <f>H536+H557</f>
        <v>1567558.6874999998</v>
      </c>
      <c r="I535" s="62">
        <f t="shared" si="123"/>
        <v>100</v>
      </c>
    </row>
    <row r="536" spans="1:9" s="118" customFormat="1">
      <c r="A536" s="58" t="s">
        <v>244</v>
      </c>
      <c r="B536" s="59" t="s">
        <v>430</v>
      </c>
      <c r="C536" s="59" t="s">
        <v>431</v>
      </c>
      <c r="D536" s="59" t="s">
        <v>140</v>
      </c>
      <c r="E536" s="59"/>
      <c r="F536" s="60">
        <f>F537+F541+F545+F549+F553</f>
        <v>1556605.4874999998</v>
      </c>
      <c r="G536" s="60">
        <f>G537+G541+G545+G549+G553</f>
        <v>1268470.55424</v>
      </c>
      <c r="H536" s="60">
        <f>H537+H541+H545+H549+H553</f>
        <v>1556605.4874999998</v>
      </c>
      <c r="I536" s="60">
        <f t="shared" si="123"/>
        <v>100</v>
      </c>
    </row>
    <row r="537" spans="1:9" s="118" customFormat="1">
      <c r="A537" s="87" t="s">
        <v>246</v>
      </c>
      <c r="B537" s="83" t="s">
        <v>430</v>
      </c>
      <c r="C537" s="83" t="s">
        <v>431</v>
      </c>
      <c r="D537" s="83" t="s">
        <v>145</v>
      </c>
      <c r="E537" s="83"/>
      <c r="F537" s="88">
        <f>F538</f>
        <v>287161.31699999998</v>
      </c>
      <c r="G537" s="88">
        <f>G538</f>
        <v>231962.62142000001</v>
      </c>
      <c r="H537" s="88">
        <f>H538</f>
        <v>287161.31699999998</v>
      </c>
      <c r="I537" s="88">
        <f t="shared" si="123"/>
        <v>100</v>
      </c>
    </row>
    <row r="538" spans="1:9" s="118" customFormat="1">
      <c r="A538" s="65" t="s">
        <v>94</v>
      </c>
      <c r="B538" s="66" t="s">
        <v>430</v>
      </c>
      <c r="C538" s="66" t="s">
        <v>431</v>
      </c>
      <c r="D538" s="66" t="s">
        <v>660</v>
      </c>
      <c r="E538" s="66" t="s">
        <v>362</v>
      </c>
      <c r="F538" s="67">
        <f>F539+F540</f>
        <v>287161.31699999998</v>
      </c>
      <c r="G538" s="67">
        <f>G539+G540</f>
        <v>231962.62142000001</v>
      </c>
      <c r="H538" s="67">
        <f>H539+H540</f>
        <v>287161.31699999998</v>
      </c>
      <c r="I538" s="67">
        <f t="shared" si="123"/>
        <v>100</v>
      </c>
    </row>
    <row r="539" spans="1:9" s="118" customFormat="1">
      <c r="A539" s="65" t="s">
        <v>95</v>
      </c>
      <c r="B539" s="66" t="s">
        <v>430</v>
      </c>
      <c r="C539" s="66" t="s">
        <v>431</v>
      </c>
      <c r="D539" s="66" t="s">
        <v>660</v>
      </c>
      <c r="E539" s="66" t="s">
        <v>371</v>
      </c>
      <c r="F539" s="67">
        <f>265105.1-11946+956-4645+17158.14925+3155+8009.85</f>
        <v>277793.09924999997</v>
      </c>
      <c r="G539" s="67">
        <v>225042.21921000001</v>
      </c>
      <c r="H539" s="67">
        <f>265105.1-11946+956-4645+17158.14925+3155+8009.85</f>
        <v>277793.09924999997</v>
      </c>
      <c r="I539" s="67">
        <f t="shared" si="123"/>
        <v>100</v>
      </c>
    </row>
    <row r="540" spans="1:9" s="118" customFormat="1">
      <c r="A540" s="65" t="s">
        <v>447</v>
      </c>
      <c r="B540" s="66" t="s">
        <v>430</v>
      </c>
      <c r="C540" s="66" t="s">
        <v>431</v>
      </c>
      <c r="D540" s="66" t="s">
        <v>660</v>
      </c>
      <c r="E540" s="66" t="s">
        <v>448</v>
      </c>
      <c r="F540" s="67">
        <f>8389-100+841.85075+237.367</f>
        <v>9368.2177499999998</v>
      </c>
      <c r="G540" s="67">
        <v>6920.4022100000002</v>
      </c>
      <c r="H540" s="67">
        <f>8389-100+841.85075+237.367</f>
        <v>9368.2177499999998</v>
      </c>
      <c r="I540" s="67">
        <f t="shared" si="123"/>
        <v>100</v>
      </c>
    </row>
    <row r="541" spans="1:9" s="118" customFormat="1" ht="48">
      <c r="A541" s="84" t="s">
        <v>330</v>
      </c>
      <c r="B541" s="71" t="s">
        <v>430</v>
      </c>
      <c r="C541" s="71" t="s">
        <v>431</v>
      </c>
      <c r="D541" s="71" t="s">
        <v>247</v>
      </c>
      <c r="E541" s="71"/>
      <c r="F541" s="80">
        <f>F542</f>
        <v>991316</v>
      </c>
      <c r="G541" s="80">
        <f>G542</f>
        <v>869287.21381999995</v>
      </c>
      <c r="H541" s="80">
        <f>H542</f>
        <v>991316</v>
      </c>
      <c r="I541" s="80">
        <f t="shared" si="123"/>
        <v>100</v>
      </c>
    </row>
    <row r="542" spans="1:9" s="118" customFormat="1">
      <c r="A542" s="65" t="s">
        <v>94</v>
      </c>
      <c r="B542" s="66" t="s">
        <v>430</v>
      </c>
      <c r="C542" s="66" t="s">
        <v>431</v>
      </c>
      <c r="D542" s="66" t="s">
        <v>247</v>
      </c>
      <c r="E542" s="66" t="s">
        <v>362</v>
      </c>
      <c r="F542" s="79">
        <f>F543+F544</f>
        <v>991316</v>
      </c>
      <c r="G542" s="79">
        <f>G543+G544</f>
        <v>869287.21381999995</v>
      </c>
      <c r="H542" s="79">
        <f>H543+H544</f>
        <v>991316</v>
      </c>
      <c r="I542" s="79">
        <f t="shared" si="123"/>
        <v>100</v>
      </c>
    </row>
    <row r="543" spans="1:9" s="118" customFormat="1">
      <c r="A543" s="65" t="s">
        <v>95</v>
      </c>
      <c r="B543" s="66" t="s">
        <v>430</v>
      </c>
      <c r="C543" s="66" t="s">
        <v>431</v>
      </c>
      <c r="D543" s="66" t="s">
        <v>247</v>
      </c>
      <c r="E543" s="66" t="s">
        <v>371</v>
      </c>
      <c r="F543" s="67">
        <f>852553.4-46.8+97720</f>
        <v>950226.6</v>
      </c>
      <c r="G543" s="67">
        <v>833725.61702000001</v>
      </c>
      <c r="H543" s="67">
        <f>852553.4-46.8+97720</f>
        <v>950226.6</v>
      </c>
      <c r="I543" s="67">
        <f t="shared" si="123"/>
        <v>100</v>
      </c>
    </row>
    <row r="544" spans="1:9" s="118" customFormat="1">
      <c r="A544" s="65" t="s">
        <v>447</v>
      </c>
      <c r="B544" s="66" t="s">
        <v>430</v>
      </c>
      <c r="C544" s="66" t="s">
        <v>431</v>
      </c>
      <c r="D544" s="66" t="s">
        <v>247</v>
      </c>
      <c r="E544" s="66" t="s">
        <v>448</v>
      </c>
      <c r="F544" s="67">
        <f>41042.6+46.8</f>
        <v>41089.4</v>
      </c>
      <c r="G544" s="67">
        <v>35561.596799999999</v>
      </c>
      <c r="H544" s="67">
        <f>41042.6+46.8</f>
        <v>41089.4</v>
      </c>
      <c r="I544" s="67">
        <f t="shared" si="123"/>
        <v>100</v>
      </c>
    </row>
    <row r="545" spans="1:9" s="118" customFormat="1" ht="24">
      <c r="A545" s="70" t="s">
        <v>714</v>
      </c>
      <c r="B545" s="71" t="s">
        <v>430</v>
      </c>
      <c r="C545" s="71" t="s">
        <v>431</v>
      </c>
      <c r="D545" s="71" t="s">
        <v>715</v>
      </c>
      <c r="E545" s="71"/>
      <c r="F545" s="72">
        <f>F546</f>
        <v>99446.76</v>
      </c>
      <c r="G545" s="72">
        <f>G546</f>
        <v>80434.343000000008</v>
      </c>
      <c r="H545" s="72">
        <f>H546</f>
        <v>99446.76</v>
      </c>
      <c r="I545" s="72">
        <f t="shared" si="123"/>
        <v>100</v>
      </c>
    </row>
    <row r="546" spans="1:9" s="118" customFormat="1">
      <c r="A546" s="65" t="s">
        <v>94</v>
      </c>
      <c r="B546" s="66" t="s">
        <v>430</v>
      </c>
      <c r="C546" s="66" t="s">
        <v>431</v>
      </c>
      <c r="D546" s="66" t="s">
        <v>715</v>
      </c>
      <c r="E546" s="66" t="s">
        <v>362</v>
      </c>
      <c r="F546" s="67">
        <f>F547+F548</f>
        <v>99446.76</v>
      </c>
      <c r="G546" s="67">
        <f>G547+G548</f>
        <v>80434.343000000008</v>
      </c>
      <c r="H546" s="67">
        <f>H547+H548</f>
        <v>99446.76</v>
      </c>
      <c r="I546" s="67">
        <f t="shared" si="123"/>
        <v>100</v>
      </c>
    </row>
    <row r="547" spans="1:9" s="118" customFormat="1">
      <c r="A547" s="65" t="s">
        <v>95</v>
      </c>
      <c r="B547" s="66" t="s">
        <v>430</v>
      </c>
      <c r="C547" s="66" t="s">
        <v>431</v>
      </c>
      <c r="D547" s="66" t="s">
        <v>715</v>
      </c>
      <c r="E547" s="66" t="s">
        <v>371</v>
      </c>
      <c r="F547" s="67">
        <v>95596.76</v>
      </c>
      <c r="G547" s="67">
        <v>77284.668000000005</v>
      </c>
      <c r="H547" s="67">
        <v>95596.76</v>
      </c>
      <c r="I547" s="67">
        <f t="shared" si="123"/>
        <v>100</v>
      </c>
    </row>
    <row r="548" spans="1:9" s="118" customFormat="1">
      <c r="A548" s="65" t="s">
        <v>447</v>
      </c>
      <c r="B548" s="66" t="s">
        <v>430</v>
      </c>
      <c r="C548" s="66" t="s">
        <v>431</v>
      </c>
      <c r="D548" s="66" t="s">
        <v>715</v>
      </c>
      <c r="E548" s="66" t="s">
        <v>448</v>
      </c>
      <c r="F548" s="67">
        <v>3850</v>
      </c>
      <c r="G548" s="67">
        <v>3149.6750000000002</v>
      </c>
      <c r="H548" s="67">
        <v>3850</v>
      </c>
      <c r="I548" s="67">
        <f t="shared" si="123"/>
        <v>100</v>
      </c>
    </row>
    <row r="549" spans="1:9" s="118" customFormat="1" ht="24">
      <c r="A549" s="70" t="s">
        <v>716</v>
      </c>
      <c r="B549" s="71" t="s">
        <v>430</v>
      </c>
      <c r="C549" s="71" t="s">
        <v>431</v>
      </c>
      <c r="D549" s="71" t="s">
        <v>717</v>
      </c>
      <c r="E549" s="71"/>
      <c r="F549" s="72">
        <f>F550</f>
        <v>170477.85149999999</v>
      </c>
      <c r="G549" s="72">
        <f>G550</f>
        <v>86786.376000000004</v>
      </c>
      <c r="H549" s="72">
        <f>H550</f>
        <v>170477.85149999999</v>
      </c>
      <c r="I549" s="72">
        <f t="shared" si="123"/>
        <v>100</v>
      </c>
    </row>
    <row r="550" spans="1:9" s="118" customFormat="1">
      <c r="A550" s="65" t="s">
        <v>94</v>
      </c>
      <c r="B550" s="66" t="s">
        <v>430</v>
      </c>
      <c r="C550" s="66" t="s">
        <v>431</v>
      </c>
      <c r="D550" s="66" t="s">
        <v>717</v>
      </c>
      <c r="E550" s="66" t="s">
        <v>362</v>
      </c>
      <c r="F550" s="67">
        <f>F551+F552</f>
        <v>170477.85149999999</v>
      </c>
      <c r="G550" s="67">
        <f>G551+G552</f>
        <v>86786.376000000004</v>
      </c>
      <c r="H550" s="67">
        <f>H551+H552</f>
        <v>170477.85149999999</v>
      </c>
      <c r="I550" s="67">
        <f t="shared" si="123"/>
        <v>100</v>
      </c>
    </row>
    <row r="551" spans="1:9" s="118" customFormat="1">
      <c r="A551" s="65" t="s">
        <v>95</v>
      </c>
      <c r="B551" s="66" t="s">
        <v>430</v>
      </c>
      <c r="C551" s="66" t="s">
        <v>431</v>
      </c>
      <c r="D551" s="66" t="s">
        <v>717</v>
      </c>
      <c r="E551" s="66" t="s">
        <v>371</v>
      </c>
      <c r="F551" s="67">
        <f>170477.8515-F552</f>
        <v>162904.05549999999</v>
      </c>
      <c r="G551" s="67">
        <v>82791.885999999999</v>
      </c>
      <c r="H551" s="67">
        <f>170477.8515-H552</f>
        <v>162904.05549999999</v>
      </c>
      <c r="I551" s="67">
        <f t="shared" si="123"/>
        <v>100</v>
      </c>
    </row>
    <row r="552" spans="1:9" s="118" customFormat="1">
      <c r="A552" s="65" t="s">
        <v>447</v>
      </c>
      <c r="B552" s="66" t="s">
        <v>430</v>
      </c>
      <c r="C552" s="66" t="s">
        <v>431</v>
      </c>
      <c r="D552" s="66" t="s">
        <v>717</v>
      </c>
      <c r="E552" s="66" t="s">
        <v>448</v>
      </c>
      <c r="F552" s="67">
        <v>7573.7960000000003</v>
      </c>
      <c r="G552" s="67">
        <v>3994.49</v>
      </c>
      <c r="H552" s="67">
        <v>7573.7960000000003</v>
      </c>
      <c r="I552" s="67">
        <f t="shared" si="123"/>
        <v>100</v>
      </c>
    </row>
    <row r="553" spans="1:9" s="118" customFormat="1" ht="24">
      <c r="A553" s="197" t="s">
        <v>740</v>
      </c>
      <c r="B553" s="198" t="s">
        <v>430</v>
      </c>
      <c r="C553" s="198" t="s">
        <v>431</v>
      </c>
      <c r="D553" s="198" t="s">
        <v>741</v>
      </c>
      <c r="E553" s="199"/>
      <c r="F553" s="200">
        <f>F554</f>
        <v>8203.5589999999993</v>
      </c>
      <c r="G553" s="333">
        <f>G554</f>
        <v>0</v>
      </c>
      <c r="H553" s="200">
        <f>H554</f>
        <v>8203.5589999999993</v>
      </c>
      <c r="I553" s="200">
        <f t="shared" si="123"/>
        <v>100</v>
      </c>
    </row>
    <row r="554" spans="1:9" s="118" customFormat="1">
      <c r="A554" s="201" t="s">
        <v>94</v>
      </c>
      <c r="B554" s="199" t="s">
        <v>430</v>
      </c>
      <c r="C554" s="199" t="s">
        <v>431</v>
      </c>
      <c r="D554" s="199" t="s">
        <v>741</v>
      </c>
      <c r="E554" s="199" t="s">
        <v>362</v>
      </c>
      <c r="F554" s="202">
        <f>F555+F556</f>
        <v>8203.5589999999993</v>
      </c>
      <c r="G554" s="334">
        <f>G555+G556</f>
        <v>0</v>
      </c>
      <c r="H554" s="202">
        <f>H555+H556</f>
        <v>8203.5589999999993</v>
      </c>
      <c r="I554" s="202">
        <f t="shared" si="123"/>
        <v>100</v>
      </c>
    </row>
    <row r="555" spans="1:9" s="118" customFormat="1">
      <c r="A555" s="201" t="s">
        <v>95</v>
      </c>
      <c r="B555" s="199" t="s">
        <v>430</v>
      </c>
      <c r="C555" s="199" t="s">
        <v>431</v>
      </c>
      <c r="D555" s="199" t="s">
        <v>741</v>
      </c>
      <c r="E555" s="199" t="s">
        <v>371</v>
      </c>
      <c r="F555" s="202">
        <v>7000</v>
      </c>
      <c r="G555" s="334">
        <v>0</v>
      </c>
      <c r="H555" s="202">
        <v>7000</v>
      </c>
      <c r="I555" s="202">
        <f t="shared" si="123"/>
        <v>100</v>
      </c>
    </row>
    <row r="556" spans="1:9" s="118" customFormat="1">
      <c r="A556" s="201" t="s">
        <v>447</v>
      </c>
      <c r="B556" s="199" t="s">
        <v>430</v>
      </c>
      <c r="C556" s="199" t="s">
        <v>431</v>
      </c>
      <c r="D556" s="199" t="s">
        <v>741</v>
      </c>
      <c r="E556" s="199" t="s">
        <v>448</v>
      </c>
      <c r="F556" s="202">
        <v>1203.559</v>
      </c>
      <c r="G556" s="334">
        <v>0</v>
      </c>
      <c r="H556" s="202">
        <v>1203.559</v>
      </c>
      <c r="I556" s="202">
        <f t="shared" si="123"/>
        <v>100</v>
      </c>
    </row>
    <row r="557" spans="1:9" s="118" customFormat="1">
      <c r="A557" s="58" t="s">
        <v>259</v>
      </c>
      <c r="B557" s="59" t="s">
        <v>430</v>
      </c>
      <c r="C557" s="59" t="s">
        <v>431</v>
      </c>
      <c r="D557" s="59" t="s">
        <v>148</v>
      </c>
      <c r="E557" s="59"/>
      <c r="F557" s="60">
        <f t="shared" ref="F557:H558" si="127">F558</f>
        <v>10953.199999999999</v>
      </c>
      <c r="G557" s="60">
        <f t="shared" si="127"/>
        <v>7070.6549999999997</v>
      </c>
      <c r="H557" s="60">
        <f t="shared" si="127"/>
        <v>10953.199999999999</v>
      </c>
      <c r="I557" s="60">
        <f t="shared" si="123"/>
        <v>100</v>
      </c>
    </row>
    <row r="558" spans="1:9" s="118" customFormat="1">
      <c r="A558" s="74" t="s">
        <v>155</v>
      </c>
      <c r="B558" s="71" t="s">
        <v>430</v>
      </c>
      <c r="C558" s="71" t="s">
        <v>431</v>
      </c>
      <c r="D558" s="71" t="s">
        <v>433</v>
      </c>
      <c r="E558" s="71"/>
      <c r="F558" s="72">
        <f t="shared" si="127"/>
        <v>10953.199999999999</v>
      </c>
      <c r="G558" s="72">
        <f t="shared" si="127"/>
        <v>7070.6549999999997</v>
      </c>
      <c r="H558" s="72">
        <f t="shared" si="127"/>
        <v>10953.199999999999</v>
      </c>
      <c r="I558" s="72">
        <f t="shared" si="123"/>
        <v>100</v>
      </c>
    </row>
    <row r="559" spans="1:9" s="118" customFormat="1">
      <c r="A559" s="65" t="s">
        <v>94</v>
      </c>
      <c r="B559" s="66" t="s">
        <v>430</v>
      </c>
      <c r="C559" s="66" t="s">
        <v>431</v>
      </c>
      <c r="D559" s="66" t="s">
        <v>661</v>
      </c>
      <c r="E559" s="66" t="s">
        <v>362</v>
      </c>
      <c r="F559" s="67">
        <f>F560+F561</f>
        <v>10953.199999999999</v>
      </c>
      <c r="G559" s="67">
        <f>G560+G561</f>
        <v>7070.6549999999997</v>
      </c>
      <c r="H559" s="67">
        <f>H560+H561</f>
        <v>10953.199999999999</v>
      </c>
      <c r="I559" s="67">
        <f t="shared" si="123"/>
        <v>100</v>
      </c>
    </row>
    <row r="560" spans="1:9" s="118" customFormat="1">
      <c r="A560" s="65" t="s">
        <v>95</v>
      </c>
      <c r="B560" s="66" t="s">
        <v>430</v>
      </c>
      <c r="C560" s="66" t="s">
        <v>431</v>
      </c>
      <c r="D560" s="66" t="s">
        <v>661</v>
      </c>
      <c r="E560" s="66" t="s">
        <v>371</v>
      </c>
      <c r="F560" s="67">
        <v>10857.9</v>
      </c>
      <c r="G560" s="67">
        <v>6988.32</v>
      </c>
      <c r="H560" s="67">
        <v>10857.9</v>
      </c>
      <c r="I560" s="67">
        <f t="shared" si="123"/>
        <v>100</v>
      </c>
    </row>
    <row r="561" spans="1:9" s="118" customFormat="1">
      <c r="A561" s="65" t="s">
        <v>447</v>
      </c>
      <c r="B561" s="66" t="s">
        <v>430</v>
      </c>
      <c r="C561" s="66" t="s">
        <v>431</v>
      </c>
      <c r="D561" s="66" t="s">
        <v>661</v>
      </c>
      <c r="E561" s="66" t="s">
        <v>448</v>
      </c>
      <c r="F561" s="67">
        <v>95.3</v>
      </c>
      <c r="G561" s="67">
        <v>82.334999999999994</v>
      </c>
      <c r="H561" s="67">
        <v>95.3</v>
      </c>
      <c r="I561" s="67">
        <f t="shared" si="123"/>
        <v>100</v>
      </c>
    </row>
    <row r="562" spans="1:9" s="118" customFormat="1">
      <c r="A562" s="58" t="s">
        <v>248</v>
      </c>
      <c r="B562" s="59" t="s">
        <v>430</v>
      </c>
      <c r="C562" s="59" t="s">
        <v>423</v>
      </c>
      <c r="D562" s="59"/>
      <c r="E562" s="59"/>
      <c r="F562" s="60">
        <f>F563+F569</f>
        <v>178489</v>
      </c>
      <c r="G562" s="60">
        <f>G563+G569</f>
        <v>150507.6765</v>
      </c>
      <c r="H562" s="60">
        <f>H563+H569</f>
        <v>178489</v>
      </c>
      <c r="I562" s="60">
        <f t="shared" si="123"/>
        <v>100</v>
      </c>
    </row>
    <row r="563" spans="1:9" s="118" customFormat="1" ht="13.5">
      <c r="A563" s="69" t="s">
        <v>673</v>
      </c>
      <c r="B563" s="61" t="s">
        <v>430</v>
      </c>
      <c r="C563" s="61" t="s">
        <v>423</v>
      </c>
      <c r="D563" s="61" t="s">
        <v>139</v>
      </c>
      <c r="E563" s="83"/>
      <c r="F563" s="62">
        <f t="shared" ref="F563:H565" si="128">F564</f>
        <v>101273.7</v>
      </c>
      <c r="G563" s="62">
        <f t="shared" si="128"/>
        <v>83640.682660000006</v>
      </c>
      <c r="H563" s="62">
        <f t="shared" si="128"/>
        <v>101273.7</v>
      </c>
      <c r="I563" s="62">
        <f t="shared" si="123"/>
        <v>100</v>
      </c>
    </row>
    <row r="564" spans="1:9" s="118" customFormat="1">
      <c r="A564" s="58" t="s">
        <v>244</v>
      </c>
      <c r="B564" s="59" t="s">
        <v>430</v>
      </c>
      <c r="C564" s="59" t="s">
        <v>423</v>
      </c>
      <c r="D564" s="59" t="s">
        <v>140</v>
      </c>
      <c r="E564" s="66"/>
      <c r="F564" s="60">
        <f t="shared" si="128"/>
        <v>101273.7</v>
      </c>
      <c r="G564" s="60">
        <f t="shared" si="128"/>
        <v>83640.682660000006</v>
      </c>
      <c r="H564" s="60">
        <f t="shared" si="128"/>
        <v>101273.7</v>
      </c>
      <c r="I564" s="60">
        <f t="shared" si="123"/>
        <v>100</v>
      </c>
    </row>
    <row r="565" spans="1:9" s="118" customFormat="1">
      <c r="A565" s="70" t="s">
        <v>249</v>
      </c>
      <c r="B565" s="71" t="s">
        <v>430</v>
      </c>
      <c r="C565" s="71" t="s">
        <v>423</v>
      </c>
      <c r="D565" s="71" t="s">
        <v>146</v>
      </c>
      <c r="E565" s="71"/>
      <c r="F565" s="72">
        <f t="shared" si="128"/>
        <v>101273.7</v>
      </c>
      <c r="G565" s="72">
        <f t="shared" si="128"/>
        <v>83640.682660000006</v>
      </c>
      <c r="H565" s="72">
        <f t="shared" si="128"/>
        <v>101273.7</v>
      </c>
      <c r="I565" s="72">
        <f t="shared" si="123"/>
        <v>100</v>
      </c>
    </row>
    <row r="566" spans="1:9" s="118" customFormat="1">
      <c r="A566" s="65" t="s">
        <v>94</v>
      </c>
      <c r="B566" s="66" t="s">
        <v>430</v>
      </c>
      <c r="C566" s="66" t="s">
        <v>423</v>
      </c>
      <c r="D566" s="66" t="s">
        <v>662</v>
      </c>
      <c r="E566" s="66" t="s">
        <v>362</v>
      </c>
      <c r="F566" s="67">
        <f>F567+F568</f>
        <v>101273.7</v>
      </c>
      <c r="G566" s="67">
        <f>G567+G568</f>
        <v>83640.682660000006</v>
      </c>
      <c r="H566" s="67">
        <f>H567+H568</f>
        <v>101273.7</v>
      </c>
      <c r="I566" s="67">
        <f t="shared" si="123"/>
        <v>100</v>
      </c>
    </row>
    <row r="567" spans="1:9" s="118" customFormat="1">
      <c r="A567" s="65" t="s">
        <v>95</v>
      </c>
      <c r="B567" s="66" t="s">
        <v>430</v>
      </c>
      <c r="C567" s="66" t="s">
        <v>423</v>
      </c>
      <c r="D567" s="66" t="s">
        <v>662</v>
      </c>
      <c r="E567" s="66" t="s">
        <v>371</v>
      </c>
      <c r="F567" s="67">
        <f>3214.5-2212.196</f>
        <v>1002.3040000000001</v>
      </c>
      <c r="G567" s="67">
        <v>1002.304</v>
      </c>
      <c r="H567" s="67">
        <f>3214.5-2212.196</f>
        <v>1002.3040000000001</v>
      </c>
      <c r="I567" s="67">
        <f t="shared" si="123"/>
        <v>100</v>
      </c>
    </row>
    <row r="568" spans="1:9" s="118" customFormat="1">
      <c r="A568" s="65" t="s">
        <v>447</v>
      </c>
      <c r="B568" s="66" t="s">
        <v>430</v>
      </c>
      <c r="C568" s="66" t="s">
        <v>423</v>
      </c>
      <c r="D568" s="66" t="s">
        <v>662</v>
      </c>
      <c r="E568" s="66" t="s">
        <v>448</v>
      </c>
      <c r="F568" s="67">
        <f>98118.5-659.3+2212.196+600</f>
        <v>100271.39599999999</v>
      </c>
      <c r="G568" s="67">
        <v>82638.378660000002</v>
      </c>
      <c r="H568" s="67">
        <f>98118.5-659.3+2212.196+600</f>
        <v>100271.39599999999</v>
      </c>
      <c r="I568" s="67">
        <f t="shared" si="123"/>
        <v>100</v>
      </c>
    </row>
    <row r="569" spans="1:9" s="118" customFormat="1" ht="13.5">
      <c r="A569" s="69" t="s">
        <v>583</v>
      </c>
      <c r="B569" s="61" t="s">
        <v>430</v>
      </c>
      <c r="C569" s="61" t="s">
        <v>423</v>
      </c>
      <c r="D569" s="61" t="s">
        <v>227</v>
      </c>
      <c r="E569" s="61"/>
      <c r="F569" s="62">
        <f t="shared" ref="F569:H573" si="129">F570</f>
        <v>77215.299999999988</v>
      </c>
      <c r="G569" s="62">
        <f t="shared" si="129"/>
        <v>66866.993839999996</v>
      </c>
      <c r="H569" s="62">
        <f t="shared" si="129"/>
        <v>77215.299999999988</v>
      </c>
      <c r="I569" s="62">
        <f t="shared" ref="I569:I631" si="130">H569/F569*100</f>
        <v>100</v>
      </c>
    </row>
    <row r="570" spans="1:9" s="118" customFormat="1">
      <c r="A570" s="58" t="s">
        <v>320</v>
      </c>
      <c r="B570" s="59" t="s">
        <v>430</v>
      </c>
      <c r="C570" s="59" t="s">
        <v>423</v>
      </c>
      <c r="D570" s="59" t="s">
        <v>228</v>
      </c>
      <c r="E570" s="59"/>
      <c r="F570" s="60">
        <f t="shared" si="129"/>
        <v>77215.299999999988</v>
      </c>
      <c r="G570" s="60">
        <f t="shared" si="129"/>
        <v>66866.993839999996</v>
      </c>
      <c r="H570" s="60">
        <f t="shared" si="129"/>
        <v>77215.299999999988</v>
      </c>
      <c r="I570" s="60">
        <f t="shared" si="130"/>
        <v>100</v>
      </c>
    </row>
    <row r="571" spans="1:9" s="118" customFormat="1" ht="24">
      <c r="A571" s="58" t="s">
        <v>596</v>
      </c>
      <c r="B571" s="59" t="s">
        <v>430</v>
      </c>
      <c r="C571" s="59" t="s">
        <v>423</v>
      </c>
      <c r="D571" s="59" t="s">
        <v>597</v>
      </c>
      <c r="E571" s="59"/>
      <c r="F571" s="60">
        <f t="shared" si="129"/>
        <v>77215.299999999988</v>
      </c>
      <c r="G571" s="60">
        <f t="shared" si="129"/>
        <v>66866.993839999996</v>
      </c>
      <c r="H571" s="60">
        <f t="shared" si="129"/>
        <v>77215.299999999988</v>
      </c>
      <c r="I571" s="60">
        <f t="shared" si="130"/>
        <v>100</v>
      </c>
    </row>
    <row r="572" spans="1:9" s="118" customFormat="1" ht="24">
      <c r="A572" s="87" t="s">
        <v>277</v>
      </c>
      <c r="B572" s="83" t="s">
        <v>430</v>
      </c>
      <c r="C572" s="83" t="s">
        <v>423</v>
      </c>
      <c r="D572" s="83" t="s">
        <v>597</v>
      </c>
      <c r="E572" s="83"/>
      <c r="F572" s="88">
        <f t="shared" si="129"/>
        <v>77215.299999999988</v>
      </c>
      <c r="G572" s="88">
        <f t="shared" si="129"/>
        <v>66866.993839999996</v>
      </c>
      <c r="H572" s="88">
        <f t="shared" si="129"/>
        <v>77215.299999999988</v>
      </c>
      <c r="I572" s="88">
        <f t="shared" si="130"/>
        <v>100</v>
      </c>
    </row>
    <row r="573" spans="1:9" s="118" customFormat="1">
      <c r="A573" s="65" t="s">
        <v>94</v>
      </c>
      <c r="B573" s="66" t="s">
        <v>430</v>
      </c>
      <c r="C573" s="66" t="s">
        <v>423</v>
      </c>
      <c r="D573" s="66" t="s">
        <v>597</v>
      </c>
      <c r="E573" s="66" t="s">
        <v>362</v>
      </c>
      <c r="F573" s="67">
        <f t="shared" si="129"/>
        <v>77215.299999999988</v>
      </c>
      <c r="G573" s="67">
        <f t="shared" si="129"/>
        <v>66866.993839999996</v>
      </c>
      <c r="H573" s="67">
        <f t="shared" si="129"/>
        <v>77215.299999999988</v>
      </c>
      <c r="I573" s="67">
        <f t="shared" si="130"/>
        <v>100</v>
      </c>
    </row>
    <row r="574" spans="1:9" s="118" customFormat="1">
      <c r="A574" s="65" t="s">
        <v>95</v>
      </c>
      <c r="B574" s="66" t="s">
        <v>430</v>
      </c>
      <c r="C574" s="66" t="s">
        <v>423</v>
      </c>
      <c r="D574" s="66" t="s">
        <v>597</v>
      </c>
      <c r="E574" s="66" t="s">
        <v>371</v>
      </c>
      <c r="F574" s="67">
        <f>91090.9-370.6-3150-10355</f>
        <v>77215.299999999988</v>
      </c>
      <c r="G574" s="67">
        <v>66866.993839999996</v>
      </c>
      <c r="H574" s="67">
        <f>91090.9-370.6-3150-10355</f>
        <v>77215.299999999988</v>
      </c>
      <c r="I574" s="67">
        <f t="shared" si="130"/>
        <v>100</v>
      </c>
    </row>
    <row r="575" spans="1:9" s="118" customFormat="1">
      <c r="A575" s="58" t="s">
        <v>568</v>
      </c>
      <c r="B575" s="59" t="s">
        <v>430</v>
      </c>
      <c r="C575" s="59" t="s">
        <v>430</v>
      </c>
      <c r="D575" s="59"/>
      <c r="E575" s="66"/>
      <c r="F575" s="60">
        <f>F576+F587+F592</f>
        <v>4920</v>
      </c>
      <c r="G575" s="60">
        <f>G576+G587+G592</f>
        <v>3577.1383299999998</v>
      </c>
      <c r="H575" s="60">
        <f>H576+H587+H592</f>
        <v>4735</v>
      </c>
      <c r="I575" s="60">
        <f t="shared" si="130"/>
        <v>96.239837398373979</v>
      </c>
    </row>
    <row r="576" spans="1:9" s="118" customFormat="1" ht="13.5">
      <c r="A576" s="69" t="s">
        <v>583</v>
      </c>
      <c r="B576" s="61" t="s">
        <v>430</v>
      </c>
      <c r="C576" s="61" t="s">
        <v>430</v>
      </c>
      <c r="D576" s="61" t="s">
        <v>227</v>
      </c>
      <c r="E576" s="61"/>
      <c r="F576" s="62">
        <f>F577</f>
        <v>2650</v>
      </c>
      <c r="G576" s="62">
        <f>G577</f>
        <v>2335.578</v>
      </c>
      <c r="H576" s="62">
        <f>H577</f>
        <v>2465</v>
      </c>
      <c r="I576" s="62">
        <f t="shared" si="130"/>
        <v>93.018867924528308</v>
      </c>
    </row>
    <row r="577" spans="1:9" s="118" customFormat="1" ht="13.5">
      <c r="A577" s="69" t="s">
        <v>319</v>
      </c>
      <c r="B577" s="61" t="s">
        <v>430</v>
      </c>
      <c r="C577" s="61" t="s">
        <v>430</v>
      </c>
      <c r="D577" s="61" t="s">
        <v>233</v>
      </c>
      <c r="E577" s="61"/>
      <c r="F577" s="62">
        <f>F578+F581+F584</f>
        <v>2650</v>
      </c>
      <c r="G577" s="62">
        <f>G578+G581+G584</f>
        <v>2335.578</v>
      </c>
      <c r="H577" s="62">
        <f>H578+H581+H584</f>
        <v>2465</v>
      </c>
      <c r="I577" s="62">
        <f t="shared" si="130"/>
        <v>93.018867924528308</v>
      </c>
    </row>
    <row r="578" spans="1:9" s="118" customFormat="1">
      <c r="A578" s="85" t="s">
        <v>234</v>
      </c>
      <c r="B578" s="59" t="s">
        <v>430</v>
      </c>
      <c r="C578" s="59" t="s">
        <v>430</v>
      </c>
      <c r="D578" s="59" t="s">
        <v>593</v>
      </c>
      <c r="E578" s="59"/>
      <c r="F578" s="60">
        <f t="shared" ref="F578:H579" si="131">F579</f>
        <v>1950</v>
      </c>
      <c r="G578" s="60">
        <f t="shared" si="131"/>
        <v>1948.578</v>
      </c>
      <c r="H578" s="60">
        <f t="shared" si="131"/>
        <v>1950</v>
      </c>
      <c r="I578" s="60">
        <f t="shared" si="130"/>
        <v>100</v>
      </c>
    </row>
    <row r="579" spans="1:9" s="118" customFormat="1">
      <c r="A579" s="65" t="s">
        <v>486</v>
      </c>
      <c r="B579" s="66" t="s">
        <v>430</v>
      </c>
      <c r="C579" s="66" t="s">
        <v>430</v>
      </c>
      <c r="D579" s="66" t="s">
        <v>593</v>
      </c>
      <c r="E579" s="66" t="s">
        <v>77</v>
      </c>
      <c r="F579" s="67">
        <f t="shared" si="131"/>
        <v>1950</v>
      </c>
      <c r="G579" s="67">
        <f t="shared" si="131"/>
        <v>1948.578</v>
      </c>
      <c r="H579" s="67">
        <f t="shared" si="131"/>
        <v>1950</v>
      </c>
      <c r="I579" s="67">
        <f t="shared" si="130"/>
        <v>100</v>
      </c>
    </row>
    <row r="580" spans="1:9" s="118" customFormat="1">
      <c r="A580" s="65" t="s">
        <v>78</v>
      </c>
      <c r="B580" s="66" t="s">
        <v>430</v>
      </c>
      <c r="C580" s="66" t="s">
        <v>430</v>
      </c>
      <c r="D580" s="66" t="s">
        <v>593</v>
      </c>
      <c r="E580" s="66" t="s">
        <v>79</v>
      </c>
      <c r="F580" s="67">
        <f>2200-250</f>
        <v>1950</v>
      </c>
      <c r="G580" s="67">
        <v>1948.578</v>
      </c>
      <c r="H580" s="67">
        <f>2200-250</f>
        <v>1950</v>
      </c>
      <c r="I580" s="67">
        <f t="shared" si="130"/>
        <v>100</v>
      </c>
    </row>
    <row r="581" spans="1:9" s="118" customFormat="1">
      <c r="A581" s="85" t="s">
        <v>235</v>
      </c>
      <c r="B581" s="59" t="s">
        <v>430</v>
      </c>
      <c r="C581" s="59" t="s">
        <v>430</v>
      </c>
      <c r="D581" s="59" t="s">
        <v>594</v>
      </c>
      <c r="E581" s="59"/>
      <c r="F581" s="78">
        <f t="shared" ref="F581:H582" si="132">F582</f>
        <v>200</v>
      </c>
      <c r="G581" s="78">
        <f t="shared" si="132"/>
        <v>12</v>
      </c>
      <c r="H581" s="78">
        <f t="shared" si="132"/>
        <v>15</v>
      </c>
      <c r="I581" s="78">
        <f t="shared" si="130"/>
        <v>7.5</v>
      </c>
    </row>
    <row r="582" spans="1:9" s="118" customFormat="1">
      <c r="A582" s="65" t="s">
        <v>486</v>
      </c>
      <c r="B582" s="66" t="s">
        <v>430</v>
      </c>
      <c r="C582" s="66" t="s">
        <v>430</v>
      </c>
      <c r="D582" s="66" t="s">
        <v>594</v>
      </c>
      <c r="E582" s="66" t="s">
        <v>77</v>
      </c>
      <c r="F582" s="79">
        <f t="shared" si="132"/>
        <v>200</v>
      </c>
      <c r="G582" s="79">
        <f t="shared" si="132"/>
        <v>12</v>
      </c>
      <c r="H582" s="79">
        <f t="shared" si="132"/>
        <v>15</v>
      </c>
      <c r="I582" s="79">
        <f t="shared" si="130"/>
        <v>7.5</v>
      </c>
    </row>
    <row r="583" spans="1:9" s="118" customFormat="1">
      <c r="A583" s="65" t="s">
        <v>78</v>
      </c>
      <c r="B583" s="66" t="s">
        <v>430</v>
      </c>
      <c r="C583" s="66" t="s">
        <v>430</v>
      </c>
      <c r="D583" s="66" t="s">
        <v>594</v>
      </c>
      <c r="E583" s="66" t="s">
        <v>79</v>
      </c>
      <c r="F583" s="79">
        <v>200</v>
      </c>
      <c r="G583" s="79">
        <v>12</v>
      </c>
      <c r="H583" s="79">
        <v>15</v>
      </c>
      <c r="I583" s="79">
        <f t="shared" si="130"/>
        <v>7.5</v>
      </c>
    </row>
    <row r="584" spans="1:9" s="118" customFormat="1" ht="24">
      <c r="A584" s="58" t="s">
        <v>58</v>
      </c>
      <c r="B584" s="59" t="s">
        <v>430</v>
      </c>
      <c r="C584" s="59" t="s">
        <v>430</v>
      </c>
      <c r="D584" s="59" t="s">
        <v>595</v>
      </c>
      <c r="E584" s="59"/>
      <c r="F584" s="60">
        <f t="shared" ref="F584:H585" si="133">F585</f>
        <v>500</v>
      </c>
      <c r="G584" s="60">
        <f t="shared" si="133"/>
        <v>375</v>
      </c>
      <c r="H584" s="60">
        <f t="shared" si="133"/>
        <v>500</v>
      </c>
      <c r="I584" s="60">
        <f t="shared" si="130"/>
        <v>100</v>
      </c>
    </row>
    <row r="585" spans="1:9" s="118" customFormat="1">
      <c r="A585" s="65" t="s">
        <v>94</v>
      </c>
      <c r="B585" s="66" t="s">
        <v>430</v>
      </c>
      <c r="C585" s="66" t="s">
        <v>430</v>
      </c>
      <c r="D585" s="66" t="s">
        <v>595</v>
      </c>
      <c r="E585" s="66" t="s">
        <v>362</v>
      </c>
      <c r="F585" s="67">
        <f t="shared" si="133"/>
        <v>500</v>
      </c>
      <c r="G585" s="67">
        <f t="shared" si="133"/>
        <v>375</v>
      </c>
      <c r="H585" s="67">
        <f t="shared" si="133"/>
        <v>500</v>
      </c>
      <c r="I585" s="67">
        <f t="shared" si="130"/>
        <v>100</v>
      </c>
    </row>
    <row r="586" spans="1:9" s="118" customFormat="1" ht="24">
      <c r="A586" s="121" t="s">
        <v>669</v>
      </c>
      <c r="B586" s="66" t="s">
        <v>430</v>
      </c>
      <c r="C586" s="66" t="s">
        <v>430</v>
      </c>
      <c r="D586" s="66" t="s">
        <v>595</v>
      </c>
      <c r="E586" s="66" t="s">
        <v>403</v>
      </c>
      <c r="F586" s="67">
        <v>500</v>
      </c>
      <c r="G586" s="67">
        <v>375</v>
      </c>
      <c r="H586" s="67">
        <v>500</v>
      </c>
      <c r="I586" s="67">
        <f t="shared" si="130"/>
        <v>100</v>
      </c>
    </row>
    <row r="587" spans="1:9" s="118" customFormat="1" ht="27">
      <c r="A587" s="69" t="s">
        <v>573</v>
      </c>
      <c r="B587" s="61" t="s">
        <v>430</v>
      </c>
      <c r="C587" s="61" t="s">
        <v>430</v>
      </c>
      <c r="D587" s="61" t="s">
        <v>48</v>
      </c>
      <c r="E587" s="66"/>
      <c r="F587" s="60">
        <f t="shared" ref="F587:H590" si="134">F588</f>
        <v>1520</v>
      </c>
      <c r="G587" s="60">
        <f t="shared" si="134"/>
        <v>709.33669999999995</v>
      </c>
      <c r="H587" s="60">
        <f t="shared" si="134"/>
        <v>1520</v>
      </c>
      <c r="I587" s="60">
        <f t="shared" si="130"/>
        <v>100</v>
      </c>
    </row>
    <row r="588" spans="1:9" s="118" customFormat="1">
      <c r="A588" s="85" t="s">
        <v>51</v>
      </c>
      <c r="B588" s="59" t="s">
        <v>430</v>
      </c>
      <c r="C588" s="59" t="s">
        <v>430</v>
      </c>
      <c r="D588" s="59" t="s">
        <v>52</v>
      </c>
      <c r="E588" s="59"/>
      <c r="F588" s="60">
        <f t="shared" si="134"/>
        <v>1520</v>
      </c>
      <c r="G588" s="60">
        <f t="shared" si="134"/>
        <v>709.33669999999995</v>
      </c>
      <c r="H588" s="60">
        <f t="shared" si="134"/>
        <v>1520</v>
      </c>
      <c r="I588" s="60">
        <f t="shared" si="130"/>
        <v>100</v>
      </c>
    </row>
    <row r="589" spans="1:9" s="118" customFormat="1">
      <c r="A589" s="70" t="s">
        <v>314</v>
      </c>
      <c r="B589" s="71" t="s">
        <v>430</v>
      </c>
      <c r="C589" s="71" t="s">
        <v>430</v>
      </c>
      <c r="D589" s="71" t="s">
        <v>574</v>
      </c>
      <c r="E589" s="71"/>
      <c r="F589" s="72">
        <f t="shared" si="134"/>
        <v>1520</v>
      </c>
      <c r="G589" s="72">
        <f t="shared" si="134"/>
        <v>709.33669999999995</v>
      </c>
      <c r="H589" s="72">
        <f t="shared" si="134"/>
        <v>1520</v>
      </c>
      <c r="I589" s="72">
        <f t="shared" si="130"/>
        <v>100</v>
      </c>
    </row>
    <row r="590" spans="1:9" s="118" customFormat="1">
      <c r="A590" s="65" t="s">
        <v>94</v>
      </c>
      <c r="B590" s="66" t="s">
        <v>430</v>
      </c>
      <c r="C590" s="66" t="s">
        <v>430</v>
      </c>
      <c r="D590" s="66" t="s">
        <v>574</v>
      </c>
      <c r="E590" s="66" t="s">
        <v>362</v>
      </c>
      <c r="F590" s="67">
        <f t="shared" si="134"/>
        <v>1520</v>
      </c>
      <c r="G590" s="67">
        <f t="shared" si="134"/>
        <v>709.33669999999995</v>
      </c>
      <c r="H590" s="67">
        <f t="shared" si="134"/>
        <v>1520</v>
      </c>
      <c r="I590" s="67">
        <f t="shared" si="130"/>
        <v>100</v>
      </c>
    </row>
    <row r="591" spans="1:9" s="118" customFormat="1">
      <c r="A591" s="65" t="s">
        <v>447</v>
      </c>
      <c r="B591" s="66" t="s">
        <v>430</v>
      </c>
      <c r="C591" s="66" t="s">
        <v>430</v>
      </c>
      <c r="D591" s="66" t="s">
        <v>574</v>
      </c>
      <c r="E591" s="66" t="s">
        <v>448</v>
      </c>
      <c r="F591" s="67">
        <f>1820-300</f>
        <v>1520</v>
      </c>
      <c r="G591" s="67">
        <v>709.33669999999995</v>
      </c>
      <c r="H591" s="67">
        <f>1820-300</f>
        <v>1520</v>
      </c>
      <c r="I591" s="67">
        <f t="shared" si="130"/>
        <v>100</v>
      </c>
    </row>
    <row r="592" spans="1:9" s="118" customFormat="1">
      <c r="A592" s="89" t="s">
        <v>67</v>
      </c>
      <c r="B592" s="71" t="s">
        <v>430</v>
      </c>
      <c r="C592" s="71" t="s">
        <v>430</v>
      </c>
      <c r="D592" s="71" t="s">
        <v>187</v>
      </c>
      <c r="E592" s="71"/>
      <c r="F592" s="72">
        <f t="shared" ref="F592:H595" si="135">F593</f>
        <v>750</v>
      </c>
      <c r="G592" s="72">
        <f t="shared" si="135"/>
        <v>532.22363000000007</v>
      </c>
      <c r="H592" s="72">
        <f t="shared" si="135"/>
        <v>750</v>
      </c>
      <c r="I592" s="72">
        <f t="shared" si="130"/>
        <v>100</v>
      </c>
    </row>
    <row r="593" spans="1:9" s="118" customFormat="1">
      <c r="A593" s="73" t="s">
        <v>272</v>
      </c>
      <c r="B593" s="59" t="s">
        <v>430</v>
      </c>
      <c r="C593" s="59" t="s">
        <v>430</v>
      </c>
      <c r="D593" s="59" t="s">
        <v>188</v>
      </c>
      <c r="E593" s="59"/>
      <c r="F593" s="60">
        <f t="shared" si="135"/>
        <v>750</v>
      </c>
      <c r="G593" s="60">
        <f t="shared" si="135"/>
        <v>532.22363000000007</v>
      </c>
      <c r="H593" s="60">
        <f t="shared" si="135"/>
        <v>750</v>
      </c>
      <c r="I593" s="60">
        <f t="shared" si="130"/>
        <v>100</v>
      </c>
    </row>
    <row r="594" spans="1:9" s="118" customFormat="1">
      <c r="A594" s="89" t="s">
        <v>290</v>
      </c>
      <c r="B594" s="71" t="s">
        <v>430</v>
      </c>
      <c r="C594" s="71" t="s">
        <v>430</v>
      </c>
      <c r="D594" s="71" t="s">
        <v>477</v>
      </c>
      <c r="E594" s="71"/>
      <c r="F594" s="72">
        <f>F595+F597</f>
        <v>750</v>
      </c>
      <c r="G594" s="72">
        <f>G595+G597</f>
        <v>532.22363000000007</v>
      </c>
      <c r="H594" s="72">
        <f>H595+H597</f>
        <v>750</v>
      </c>
      <c r="I594" s="72">
        <f t="shared" si="130"/>
        <v>100</v>
      </c>
    </row>
    <row r="595" spans="1:9" s="118" customFormat="1">
      <c r="A595" s="65" t="s">
        <v>486</v>
      </c>
      <c r="B595" s="66" t="s">
        <v>430</v>
      </c>
      <c r="C595" s="66" t="s">
        <v>430</v>
      </c>
      <c r="D595" s="66" t="s">
        <v>477</v>
      </c>
      <c r="E595" s="66" t="s">
        <v>77</v>
      </c>
      <c r="F595" s="67">
        <f t="shared" si="135"/>
        <v>165</v>
      </c>
      <c r="G595" s="67">
        <f t="shared" si="135"/>
        <v>25.8338</v>
      </c>
      <c r="H595" s="67">
        <f t="shared" si="135"/>
        <v>165</v>
      </c>
      <c r="I595" s="67">
        <f t="shared" si="130"/>
        <v>100</v>
      </c>
    </row>
    <row r="596" spans="1:9" s="118" customFormat="1">
      <c r="A596" s="65" t="s">
        <v>78</v>
      </c>
      <c r="B596" s="66" t="s">
        <v>430</v>
      </c>
      <c r="C596" s="66" t="s">
        <v>430</v>
      </c>
      <c r="D596" s="66" t="s">
        <v>477</v>
      </c>
      <c r="E596" s="66" t="s">
        <v>79</v>
      </c>
      <c r="F596" s="67">
        <f>750-585</f>
        <v>165</v>
      </c>
      <c r="G596" s="67">
        <v>25.8338</v>
      </c>
      <c r="H596" s="67">
        <f>750-585</f>
        <v>165</v>
      </c>
      <c r="I596" s="67">
        <f t="shared" si="130"/>
        <v>100</v>
      </c>
    </row>
    <row r="597" spans="1:9" s="118" customFormat="1">
      <c r="A597" s="65" t="s">
        <v>94</v>
      </c>
      <c r="B597" s="66" t="s">
        <v>430</v>
      </c>
      <c r="C597" s="66" t="s">
        <v>430</v>
      </c>
      <c r="D597" s="66" t="s">
        <v>477</v>
      </c>
      <c r="E597" s="66" t="s">
        <v>362</v>
      </c>
      <c r="F597" s="67">
        <f>F598</f>
        <v>585</v>
      </c>
      <c r="G597" s="67">
        <f>G598</f>
        <v>506.38983000000002</v>
      </c>
      <c r="H597" s="67">
        <f>H598</f>
        <v>585</v>
      </c>
      <c r="I597" s="67">
        <f t="shared" si="130"/>
        <v>100</v>
      </c>
    </row>
    <row r="598" spans="1:9" s="118" customFormat="1">
      <c r="A598" s="65" t="s">
        <v>95</v>
      </c>
      <c r="B598" s="66" t="s">
        <v>430</v>
      </c>
      <c r="C598" s="66" t="s">
        <v>430</v>
      </c>
      <c r="D598" s="66" t="s">
        <v>477</v>
      </c>
      <c r="E598" s="66" t="s">
        <v>371</v>
      </c>
      <c r="F598" s="67">
        <v>585</v>
      </c>
      <c r="G598" s="67">
        <v>506.38983000000002</v>
      </c>
      <c r="H598" s="67">
        <v>585</v>
      </c>
      <c r="I598" s="67">
        <f t="shared" si="130"/>
        <v>100</v>
      </c>
    </row>
    <row r="599" spans="1:9" s="118" customFormat="1">
      <c r="A599" s="58" t="s">
        <v>341</v>
      </c>
      <c r="B599" s="59" t="s">
        <v>430</v>
      </c>
      <c r="C599" s="59" t="s">
        <v>424</v>
      </c>
      <c r="D599" s="59"/>
      <c r="E599" s="66"/>
      <c r="F599" s="60">
        <f>F600+F641+F651</f>
        <v>231516.421</v>
      </c>
      <c r="G599" s="60">
        <f>G600+G641+G651</f>
        <v>155329.31320099998</v>
      </c>
      <c r="H599" s="60">
        <f>H600+H641+H651</f>
        <v>230116.421</v>
      </c>
      <c r="I599" s="60">
        <f t="shared" si="130"/>
        <v>99.395291273961078</v>
      </c>
    </row>
    <row r="600" spans="1:9" s="118" customFormat="1" ht="13.5">
      <c r="A600" s="69" t="s">
        <v>673</v>
      </c>
      <c r="B600" s="61" t="s">
        <v>430</v>
      </c>
      <c r="C600" s="61" t="s">
        <v>424</v>
      </c>
      <c r="D600" s="61" t="s">
        <v>139</v>
      </c>
      <c r="E600" s="66"/>
      <c r="F600" s="62">
        <f>F601+F609+F630</f>
        <v>99687.599999999991</v>
      </c>
      <c r="G600" s="62">
        <f>G601+G609+G630</f>
        <v>75610.524179999993</v>
      </c>
      <c r="H600" s="62">
        <f>H601+H609+H630</f>
        <v>99687.599999999991</v>
      </c>
      <c r="I600" s="62">
        <f t="shared" si="130"/>
        <v>100</v>
      </c>
    </row>
    <row r="601" spans="1:9" s="118" customFormat="1">
      <c r="A601" s="58" t="s">
        <v>244</v>
      </c>
      <c r="B601" s="59" t="s">
        <v>430</v>
      </c>
      <c r="C601" s="59" t="s">
        <v>424</v>
      </c>
      <c r="D601" s="59" t="s">
        <v>140</v>
      </c>
      <c r="E601" s="59"/>
      <c r="F601" s="60">
        <f>F602+F605</f>
        <v>82270.2</v>
      </c>
      <c r="G601" s="60">
        <f>G602+G605</f>
        <v>62853.085550000003</v>
      </c>
      <c r="H601" s="60">
        <f>H602+H605</f>
        <v>82270.2</v>
      </c>
      <c r="I601" s="60">
        <f t="shared" si="130"/>
        <v>100</v>
      </c>
    </row>
    <row r="602" spans="1:9" s="118" customFormat="1">
      <c r="A602" s="70" t="s">
        <v>251</v>
      </c>
      <c r="B602" s="71" t="s">
        <v>430</v>
      </c>
      <c r="C602" s="71" t="s">
        <v>424</v>
      </c>
      <c r="D602" s="71" t="s">
        <v>250</v>
      </c>
      <c r="E602" s="71"/>
      <c r="F602" s="72">
        <f t="shared" ref="F602:H603" si="136">F603</f>
        <v>9279.2000000000007</v>
      </c>
      <c r="G602" s="72">
        <f t="shared" si="136"/>
        <v>6284.14876</v>
      </c>
      <c r="H602" s="72">
        <f t="shared" si="136"/>
        <v>9279.2000000000007</v>
      </c>
      <c r="I602" s="72">
        <f t="shared" si="130"/>
        <v>100</v>
      </c>
    </row>
    <row r="603" spans="1:9" s="118" customFormat="1">
      <c r="A603" s="65" t="s">
        <v>94</v>
      </c>
      <c r="B603" s="66" t="s">
        <v>430</v>
      </c>
      <c r="C603" s="66" t="s">
        <v>424</v>
      </c>
      <c r="D603" s="66" t="s">
        <v>663</v>
      </c>
      <c r="E603" s="66" t="s">
        <v>362</v>
      </c>
      <c r="F603" s="67">
        <f>F604</f>
        <v>9279.2000000000007</v>
      </c>
      <c r="G603" s="67">
        <f t="shared" si="136"/>
        <v>6284.14876</v>
      </c>
      <c r="H603" s="67">
        <f t="shared" si="136"/>
        <v>9279.2000000000007</v>
      </c>
      <c r="I603" s="67">
        <f t="shared" si="130"/>
        <v>100</v>
      </c>
    </row>
    <row r="604" spans="1:9" s="118" customFormat="1">
      <c r="A604" s="65" t="s">
        <v>95</v>
      </c>
      <c r="B604" s="66" t="s">
        <v>430</v>
      </c>
      <c r="C604" s="66" t="s">
        <v>424</v>
      </c>
      <c r="D604" s="66" t="s">
        <v>663</v>
      </c>
      <c r="E604" s="66" t="s">
        <v>371</v>
      </c>
      <c r="F604" s="67">
        <v>9279.2000000000007</v>
      </c>
      <c r="G604" s="67">
        <v>6284.14876</v>
      </c>
      <c r="H604" s="67">
        <v>9279.2000000000007</v>
      </c>
      <c r="I604" s="67">
        <f t="shared" si="130"/>
        <v>100</v>
      </c>
    </row>
    <row r="605" spans="1:9" s="118" customFormat="1">
      <c r="A605" s="70" t="s">
        <v>257</v>
      </c>
      <c r="B605" s="83" t="s">
        <v>430</v>
      </c>
      <c r="C605" s="83" t="s">
        <v>424</v>
      </c>
      <c r="D605" s="71" t="s">
        <v>252</v>
      </c>
      <c r="E605" s="71"/>
      <c r="F605" s="72">
        <f>F606</f>
        <v>72991</v>
      </c>
      <c r="G605" s="72">
        <f>G606</f>
        <v>56568.93679</v>
      </c>
      <c r="H605" s="72">
        <f>H606</f>
        <v>72991</v>
      </c>
      <c r="I605" s="72">
        <f t="shared" si="130"/>
        <v>100</v>
      </c>
    </row>
    <row r="606" spans="1:9" s="118" customFormat="1">
      <c r="A606" s="65" t="s">
        <v>94</v>
      </c>
      <c r="B606" s="66" t="s">
        <v>430</v>
      </c>
      <c r="C606" s="66" t="s">
        <v>424</v>
      </c>
      <c r="D606" s="66" t="s">
        <v>664</v>
      </c>
      <c r="E606" s="66" t="s">
        <v>362</v>
      </c>
      <c r="F606" s="67">
        <f>F607+F608</f>
        <v>72991</v>
      </c>
      <c r="G606" s="67">
        <f>G607+G608</f>
        <v>56568.93679</v>
      </c>
      <c r="H606" s="67">
        <f>H607+H608</f>
        <v>72991</v>
      </c>
      <c r="I606" s="67">
        <f t="shared" si="130"/>
        <v>100</v>
      </c>
    </row>
    <row r="607" spans="1:9" s="118" customFormat="1">
      <c r="A607" s="65" t="s">
        <v>95</v>
      </c>
      <c r="B607" s="66" t="s">
        <v>430</v>
      </c>
      <c r="C607" s="66" t="s">
        <v>424</v>
      </c>
      <c r="D607" s="66" t="s">
        <v>664</v>
      </c>
      <c r="E607" s="66" t="s">
        <v>371</v>
      </c>
      <c r="F607" s="67">
        <f>67378-19.856-471.30512-1510.474+413</f>
        <v>65789.364879999994</v>
      </c>
      <c r="G607" s="67">
        <v>51341.047910000001</v>
      </c>
      <c r="H607" s="67">
        <f>67378-19.856-471.30512-1510.474+413</f>
        <v>65789.364879999994</v>
      </c>
      <c r="I607" s="67">
        <f t="shared" si="130"/>
        <v>100</v>
      </c>
    </row>
    <row r="608" spans="1:9" s="118" customFormat="1">
      <c r="A608" s="65" t="s">
        <v>447</v>
      </c>
      <c r="B608" s="66" t="s">
        <v>430</v>
      </c>
      <c r="C608" s="66" t="s">
        <v>424</v>
      </c>
      <c r="D608" s="66" t="s">
        <v>664</v>
      </c>
      <c r="E608" s="66" t="s">
        <v>448</v>
      </c>
      <c r="F608" s="67">
        <f>5200+19.856+471.30512+1510.474</f>
        <v>7201.6351199999999</v>
      </c>
      <c r="G608" s="67">
        <v>5227.8888800000004</v>
      </c>
      <c r="H608" s="67">
        <f>5200+19.856+471.30512+1510.474</f>
        <v>7201.6351199999999</v>
      </c>
      <c r="I608" s="67">
        <f t="shared" si="130"/>
        <v>100</v>
      </c>
    </row>
    <row r="609" spans="1:9" s="118" customFormat="1">
      <c r="A609" s="58" t="s">
        <v>400</v>
      </c>
      <c r="B609" s="59" t="s">
        <v>430</v>
      </c>
      <c r="C609" s="59" t="s">
        <v>424</v>
      </c>
      <c r="D609" s="59" t="s">
        <v>147</v>
      </c>
      <c r="E609" s="59"/>
      <c r="F609" s="60">
        <f>F610+F618+F623</f>
        <v>6020</v>
      </c>
      <c r="G609" s="60">
        <f>G610+G618+G623</f>
        <v>4003.1688300000001</v>
      </c>
      <c r="H609" s="60">
        <f>H610+H618+H623</f>
        <v>6020</v>
      </c>
      <c r="I609" s="60">
        <f t="shared" si="130"/>
        <v>100</v>
      </c>
    </row>
    <row r="610" spans="1:9" s="118" customFormat="1">
      <c r="A610" s="85" t="s">
        <v>150</v>
      </c>
      <c r="B610" s="59" t="s">
        <v>430</v>
      </c>
      <c r="C610" s="59" t="s">
        <v>424</v>
      </c>
      <c r="D610" s="59" t="s">
        <v>122</v>
      </c>
      <c r="E610" s="71"/>
      <c r="F610" s="60">
        <f>F611</f>
        <v>4035</v>
      </c>
      <c r="G610" s="60">
        <f>G611</f>
        <v>3353.8201300000001</v>
      </c>
      <c r="H610" s="60">
        <f>H611</f>
        <v>4035</v>
      </c>
      <c r="I610" s="60">
        <f t="shared" si="130"/>
        <v>100</v>
      </c>
    </row>
    <row r="611" spans="1:9" s="118" customFormat="1">
      <c r="A611" s="87" t="s">
        <v>425</v>
      </c>
      <c r="B611" s="83" t="s">
        <v>430</v>
      </c>
      <c r="C611" s="83" t="s">
        <v>424</v>
      </c>
      <c r="D611" s="83" t="s">
        <v>665</v>
      </c>
      <c r="E611" s="83"/>
      <c r="F611" s="88">
        <f>F612+F614+F616</f>
        <v>4035</v>
      </c>
      <c r="G611" s="88">
        <f>G612+G614+G616</f>
        <v>3353.8201300000001</v>
      </c>
      <c r="H611" s="88">
        <f>H612+H614+H616</f>
        <v>4035</v>
      </c>
      <c r="I611" s="88">
        <f t="shared" si="130"/>
        <v>100</v>
      </c>
    </row>
    <row r="612" spans="1:9" s="118" customFormat="1" ht="24">
      <c r="A612" s="65" t="s">
        <v>72</v>
      </c>
      <c r="B612" s="66" t="s">
        <v>430</v>
      </c>
      <c r="C612" s="66" t="s">
        <v>424</v>
      </c>
      <c r="D612" s="66" t="s">
        <v>665</v>
      </c>
      <c r="E612" s="66" t="s">
        <v>73</v>
      </c>
      <c r="F612" s="67">
        <f>F613</f>
        <v>3930</v>
      </c>
      <c r="G612" s="67">
        <f>G613</f>
        <v>3312.0881300000001</v>
      </c>
      <c r="H612" s="67">
        <f>H613</f>
        <v>3930</v>
      </c>
      <c r="I612" s="67">
        <f t="shared" si="130"/>
        <v>100</v>
      </c>
    </row>
    <row r="613" spans="1:9" s="118" customFormat="1">
      <c r="A613" s="65" t="s">
        <v>426</v>
      </c>
      <c r="B613" s="66" t="s">
        <v>430</v>
      </c>
      <c r="C613" s="66" t="s">
        <v>424</v>
      </c>
      <c r="D613" s="66" t="s">
        <v>665</v>
      </c>
      <c r="E613" s="66" t="s">
        <v>427</v>
      </c>
      <c r="F613" s="67">
        <f>3930</f>
        <v>3930</v>
      </c>
      <c r="G613" s="67">
        <v>3312.0881300000001</v>
      </c>
      <c r="H613" s="67">
        <f>3930</f>
        <v>3930</v>
      </c>
      <c r="I613" s="67">
        <f t="shared" si="130"/>
        <v>100</v>
      </c>
    </row>
    <row r="614" spans="1:9" s="118" customFormat="1">
      <c r="A614" s="65" t="s">
        <v>486</v>
      </c>
      <c r="B614" s="66" t="s">
        <v>430</v>
      </c>
      <c r="C614" s="66" t="s">
        <v>424</v>
      </c>
      <c r="D614" s="66" t="s">
        <v>665</v>
      </c>
      <c r="E614" s="66" t="s">
        <v>77</v>
      </c>
      <c r="F614" s="67">
        <f>F615</f>
        <v>100</v>
      </c>
      <c r="G614" s="67">
        <f>G615</f>
        <v>41.731999999999999</v>
      </c>
      <c r="H614" s="67">
        <f>H615</f>
        <v>100</v>
      </c>
      <c r="I614" s="67">
        <f t="shared" si="130"/>
        <v>100</v>
      </c>
    </row>
    <row r="615" spans="1:9" s="118" customFormat="1">
      <c r="A615" s="65" t="s">
        <v>78</v>
      </c>
      <c r="B615" s="66" t="s">
        <v>430</v>
      </c>
      <c r="C615" s="66" t="s">
        <v>424</v>
      </c>
      <c r="D615" s="66" t="s">
        <v>665</v>
      </c>
      <c r="E615" s="66" t="s">
        <v>79</v>
      </c>
      <c r="F615" s="67">
        <f>100</f>
        <v>100</v>
      </c>
      <c r="G615" s="67">
        <v>41.731999999999999</v>
      </c>
      <c r="H615" s="67">
        <f>100</f>
        <v>100</v>
      </c>
      <c r="I615" s="67">
        <f>H615/F615*100</f>
        <v>100</v>
      </c>
    </row>
    <row r="616" spans="1:9" s="118" customFormat="1">
      <c r="A616" s="65" t="s">
        <v>80</v>
      </c>
      <c r="B616" s="66" t="s">
        <v>430</v>
      </c>
      <c r="C616" s="66" t="s">
        <v>424</v>
      </c>
      <c r="D616" s="66" t="s">
        <v>665</v>
      </c>
      <c r="E616" s="66" t="s">
        <v>81</v>
      </c>
      <c r="F616" s="111">
        <f>F617</f>
        <v>5</v>
      </c>
      <c r="G616" s="335">
        <f>G617</f>
        <v>0</v>
      </c>
      <c r="H616" s="111">
        <f>H617</f>
        <v>5</v>
      </c>
      <c r="I616" s="111">
        <f t="shared" si="130"/>
        <v>100</v>
      </c>
    </row>
    <row r="617" spans="1:9" s="118" customFormat="1">
      <c r="A617" s="65" t="s">
        <v>445</v>
      </c>
      <c r="B617" s="66" t="s">
        <v>430</v>
      </c>
      <c r="C617" s="66" t="s">
        <v>424</v>
      </c>
      <c r="D617" s="66" t="s">
        <v>665</v>
      </c>
      <c r="E617" s="66" t="s">
        <v>82</v>
      </c>
      <c r="F617" s="111">
        <v>5</v>
      </c>
      <c r="G617" s="335">
        <v>0</v>
      </c>
      <c r="H617" s="111">
        <v>5</v>
      </c>
      <c r="I617" s="111">
        <f t="shared" si="130"/>
        <v>100</v>
      </c>
    </row>
    <row r="618" spans="1:9" s="118" customFormat="1" ht="24">
      <c r="A618" s="74" t="s">
        <v>258</v>
      </c>
      <c r="B618" s="71" t="s">
        <v>430</v>
      </c>
      <c r="C618" s="71" t="s">
        <v>424</v>
      </c>
      <c r="D618" s="71" t="s">
        <v>666</v>
      </c>
      <c r="E618" s="71"/>
      <c r="F618" s="72">
        <f>F619+F621</f>
        <v>1135</v>
      </c>
      <c r="G618" s="72">
        <f>G619+G621</f>
        <v>359.21769999999998</v>
      </c>
      <c r="H618" s="72">
        <f>H619+H621</f>
        <v>1135</v>
      </c>
      <c r="I618" s="72">
        <f t="shared" si="130"/>
        <v>100</v>
      </c>
    </row>
    <row r="619" spans="1:9" s="118" customFormat="1" ht="24">
      <c r="A619" s="65" t="s">
        <v>72</v>
      </c>
      <c r="B619" s="66" t="s">
        <v>430</v>
      </c>
      <c r="C619" s="66" t="s">
        <v>424</v>
      </c>
      <c r="D619" s="66" t="s">
        <v>666</v>
      </c>
      <c r="E619" s="66" t="s">
        <v>73</v>
      </c>
      <c r="F619" s="79">
        <f>F620</f>
        <v>135</v>
      </c>
      <c r="G619" s="79">
        <f>G620</f>
        <v>56.564999999999998</v>
      </c>
      <c r="H619" s="79">
        <f>H620</f>
        <v>135</v>
      </c>
      <c r="I619" s="79">
        <f t="shared" si="130"/>
        <v>100</v>
      </c>
    </row>
    <row r="620" spans="1:9" s="118" customFormat="1">
      <c r="A620" s="65" t="s">
        <v>426</v>
      </c>
      <c r="B620" s="66" t="s">
        <v>430</v>
      </c>
      <c r="C620" s="66" t="s">
        <v>424</v>
      </c>
      <c r="D620" s="66" t="s">
        <v>666</v>
      </c>
      <c r="E620" s="66" t="s">
        <v>427</v>
      </c>
      <c r="F620" s="79">
        <v>135</v>
      </c>
      <c r="G620" s="79">
        <v>56.564999999999998</v>
      </c>
      <c r="H620" s="79">
        <v>135</v>
      </c>
      <c r="I620" s="79">
        <f t="shared" si="130"/>
        <v>100</v>
      </c>
    </row>
    <row r="621" spans="1:9" s="118" customFormat="1">
      <c r="A621" s="65" t="s">
        <v>486</v>
      </c>
      <c r="B621" s="66" t="s">
        <v>430</v>
      </c>
      <c r="C621" s="66" t="s">
        <v>424</v>
      </c>
      <c r="D621" s="66" t="s">
        <v>666</v>
      </c>
      <c r="E621" s="66" t="s">
        <v>77</v>
      </c>
      <c r="F621" s="67">
        <f>F622</f>
        <v>1000</v>
      </c>
      <c r="G621" s="67">
        <f>G622</f>
        <v>302.65269999999998</v>
      </c>
      <c r="H621" s="67">
        <f>H622</f>
        <v>1000</v>
      </c>
      <c r="I621" s="67">
        <f t="shared" si="130"/>
        <v>100</v>
      </c>
    </row>
    <row r="622" spans="1:9" s="118" customFormat="1">
      <c r="A622" s="65" t="s">
        <v>78</v>
      </c>
      <c r="B622" s="66" t="s">
        <v>430</v>
      </c>
      <c r="C622" s="66" t="s">
        <v>424</v>
      </c>
      <c r="D622" s="66" t="s">
        <v>666</v>
      </c>
      <c r="E622" s="66" t="s">
        <v>79</v>
      </c>
      <c r="F622" s="67">
        <f>1000</f>
        <v>1000</v>
      </c>
      <c r="G622" s="67">
        <v>302.65269999999998</v>
      </c>
      <c r="H622" s="67">
        <f>1000</f>
        <v>1000</v>
      </c>
      <c r="I622" s="67">
        <f t="shared" si="130"/>
        <v>100</v>
      </c>
    </row>
    <row r="623" spans="1:9" s="118" customFormat="1" ht="36">
      <c r="A623" s="74" t="s">
        <v>399</v>
      </c>
      <c r="B623" s="71" t="s">
        <v>430</v>
      </c>
      <c r="C623" s="71" t="s">
        <v>424</v>
      </c>
      <c r="D623" s="71" t="s">
        <v>667</v>
      </c>
      <c r="E623" s="71"/>
      <c r="F623" s="72">
        <f>F624+F626+F628</f>
        <v>850</v>
      </c>
      <c r="G623" s="72">
        <f>G624+G626+G628</f>
        <v>290.13100000000003</v>
      </c>
      <c r="H623" s="72">
        <f>H624+H626+H628</f>
        <v>850</v>
      </c>
      <c r="I623" s="72">
        <f t="shared" si="130"/>
        <v>100</v>
      </c>
    </row>
    <row r="624" spans="1:9" s="118" customFormat="1" ht="24">
      <c r="A624" s="65" t="s">
        <v>72</v>
      </c>
      <c r="B624" s="66" t="s">
        <v>430</v>
      </c>
      <c r="C624" s="66" t="s">
        <v>424</v>
      </c>
      <c r="D624" s="66" t="s">
        <v>667</v>
      </c>
      <c r="E624" s="66" t="s">
        <v>73</v>
      </c>
      <c r="F624" s="79">
        <f>F625</f>
        <v>50</v>
      </c>
      <c r="G624" s="79">
        <f>G625</f>
        <v>29.196000000000002</v>
      </c>
      <c r="H624" s="79">
        <f>H625</f>
        <v>50</v>
      </c>
      <c r="I624" s="79">
        <f t="shared" si="130"/>
        <v>100</v>
      </c>
    </row>
    <row r="625" spans="1:9" s="118" customFormat="1">
      <c r="A625" s="65" t="s">
        <v>426</v>
      </c>
      <c r="B625" s="66" t="s">
        <v>430</v>
      </c>
      <c r="C625" s="66" t="s">
        <v>424</v>
      </c>
      <c r="D625" s="66" t="s">
        <v>667</v>
      </c>
      <c r="E625" s="66" t="s">
        <v>427</v>
      </c>
      <c r="F625" s="79">
        <v>50</v>
      </c>
      <c r="G625" s="79">
        <v>29.196000000000002</v>
      </c>
      <c r="H625" s="79">
        <v>50</v>
      </c>
      <c r="I625" s="79">
        <f t="shared" si="130"/>
        <v>100</v>
      </c>
    </row>
    <row r="626" spans="1:9" s="118" customFormat="1">
      <c r="A626" s="65" t="s">
        <v>486</v>
      </c>
      <c r="B626" s="66" t="s">
        <v>430</v>
      </c>
      <c r="C626" s="66" t="s">
        <v>424</v>
      </c>
      <c r="D626" s="66" t="s">
        <v>667</v>
      </c>
      <c r="E626" s="66" t="s">
        <v>77</v>
      </c>
      <c r="F626" s="67">
        <f>F627</f>
        <v>650</v>
      </c>
      <c r="G626" s="67">
        <f>G627</f>
        <v>190.70500000000001</v>
      </c>
      <c r="H626" s="67">
        <f>H627</f>
        <v>650</v>
      </c>
      <c r="I626" s="67">
        <f t="shared" si="130"/>
        <v>100</v>
      </c>
    </row>
    <row r="627" spans="1:9" s="118" customFormat="1">
      <c r="A627" s="65" t="s">
        <v>78</v>
      </c>
      <c r="B627" s="66" t="s">
        <v>430</v>
      </c>
      <c r="C627" s="66" t="s">
        <v>424</v>
      </c>
      <c r="D627" s="66" t="s">
        <v>667</v>
      </c>
      <c r="E627" s="66" t="s">
        <v>79</v>
      </c>
      <c r="F627" s="67">
        <f>150+500</f>
        <v>650</v>
      </c>
      <c r="G627" s="67">
        <v>190.70500000000001</v>
      </c>
      <c r="H627" s="67">
        <f>150+500</f>
        <v>650</v>
      </c>
      <c r="I627" s="67">
        <f t="shared" si="130"/>
        <v>100</v>
      </c>
    </row>
    <row r="628" spans="1:9" s="118" customFormat="1">
      <c r="A628" s="65" t="s">
        <v>88</v>
      </c>
      <c r="B628" s="66" t="s">
        <v>430</v>
      </c>
      <c r="C628" s="66" t="s">
        <v>424</v>
      </c>
      <c r="D628" s="66" t="s">
        <v>667</v>
      </c>
      <c r="E628" s="66" t="s">
        <v>87</v>
      </c>
      <c r="F628" s="67">
        <f>F629</f>
        <v>150</v>
      </c>
      <c r="G628" s="67">
        <f>G629</f>
        <v>70.23</v>
      </c>
      <c r="H628" s="67">
        <f>H629</f>
        <v>150</v>
      </c>
      <c r="I628" s="67">
        <f t="shared" si="130"/>
        <v>100</v>
      </c>
    </row>
    <row r="629" spans="1:9" s="118" customFormat="1">
      <c r="A629" s="65" t="s">
        <v>504</v>
      </c>
      <c r="B629" s="66" t="s">
        <v>430</v>
      </c>
      <c r="C629" s="66" t="s">
        <v>424</v>
      </c>
      <c r="D629" s="66" t="s">
        <v>667</v>
      </c>
      <c r="E629" s="66" t="s">
        <v>500</v>
      </c>
      <c r="F629" s="67">
        <v>150</v>
      </c>
      <c r="G629" s="67">
        <v>70.23</v>
      </c>
      <c r="H629" s="67">
        <v>150</v>
      </c>
      <c r="I629" s="67">
        <f t="shared" si="130"/>
        <v>100</v>
      </c>
    </row>
    <row r="630" spans="1:9" s="118" customFormat="1" ht="24">
      <c r="A630" s="85" t="s">
        <v>503</v>
      </c>
      <c r="B630" s="59" t="s">
        <v>430</v>
      </c>
      <c r="C630" s="59" t="s">
        <v>424</v>
      </c>
      <c r="D630" s="59" t="s">
        <v>149</v>
      </c>
      <c r="E630" s="59"/>
      <c r="F630" s="60">
        <f t="shared" ref="F630:H631" si="137">F631</f>
        <v>11397.4</v>
      </c>
      <c r="G630" s="60">
        <f t="shared" si="137"/>
        <v>8754.2698</v>
      </c>
      <c r="H630" s="60">
        <f t="shared" si="137"/>
        <v>11397.4</v>
      </c>
      <c r="I630" s="60">
        <f t="shared" si="130"/>
        <v>100</v>
      </c>
    </row>
    <row r="631" spans="1:9" s="118" customFormat="1">
      <c r="A631" s="112" t="s">
        <v>153</v>
      </c>
      <c r="B631" s="59" t="s">
        <v>430</v>
      </c>
      <c r="C631" s="59" t="s">
        <v>424</v>
      </c>
      <c r="D631" s="59" t="s">
        <v>149</v>
      </c>
      <c r="E631" s="59"/>
      <c r="F631" s="60">
        <f t="shared" si="137"/>
        <v>11397.4</v>
      </c>
      <c r="G631" s="60">
        <f t="shared" si="137"/>
        <v>8754.2698</v>
      </c>
      <c r="H631" s="60">
        <f t="shared" si="137"/>
        <v>11397.4</v>
      </c>
      <c r="I631" s="60">
        <f t="shared" si="130"/>
        <v>100</v>
      </c>
    </row>
    <row r="632" spans="1:9" s="118" customFormat="1" ht="24">
      <c r="A632" s="70" t="s">
        <v>364</v>
      </c>
      <c r="B632" s="71" t="s">
        <v>430</v>
      </c>
      <c r="C632" s="71" t="s">
        <v>424</v>
      </c>
      <c r="D632" s="71" t="s">
        <v>149</v>
      </c>
      <c r="E632" s="71"/>
      <c r="F632" s="72">
        <f>F633+F636</f>
        <v>11397.4</v>
      </c>
      <c r="G632" s="72">
        <f>G633+G636</f>
        <v>8754.2698</v>
      </c>
      <c r="H632" s="72">
        <f>H633+H636</f>
        <v>11397.4</v>
      </c>
      <c r="I632" s="72">
        <f t="shared" ref="I632:I683" si="138">H632/F632*100</f>
        <v>100</v>
      </c>
    </row>
    <row r="633" spans="1:9" s="118" customFormat="1">
      <c r="A633" s="73" t="s">
        <v>347</v>
      </c>
      <c r="B633" s="59" t="s">
        <v>430</v>
      </c>
      <c r="C633" s="59" t="s">
        <v>424</v>
      </c>
      <c r="D633" s="59" t="s">
        <v>262</v>
      </c>
      <c r="E633" s="59"/>
      <c r="F633" s="60">
        <f t="shared" ref="F633:H634" si="139">F634</f>
        <v>10660.4</v>
      </c>
      <c r="G633" s="60">
        <f t="shared" si="139"/>
        <v>8138.7560899999999</v>
      </c>
      <c r="H633" s="60">
        <f t="shared" si="139"/>
        <v>10660.4</v>
      </c>
      <c r="I633" s="60">
        <f t="shared" si="138"/>
        <v>100</v>
      </c>
    </row>
    <row r="634" spans="1:9" s="119" customFormat="1" ht="24">
      <c r="A634" s="65" t="s">
        <v>72</v>
      </c>
      <c r="B634" s="66" t="s">
        <v>430</v>
      </c>
      <c r="C634" s="66" t="s">
        <v>424</v>
      </c>
      <c r="D634" s="66" t="s">
        <v>262</v>
      </c>
      <c r="E634" s="66" t="s">
        <v>73</v>
      </c>
      <c r="F634" s="67">
        <f t="shared" si="139"/>
        <v>10660.4</v>
      </c>
      <c r="G634" s="67">
        <f t="shared" si="139"/>
        <v>8138.7560899999999</v>
      </c>
      <c r="H634" s="67">
        <f t="shared" si="139"/>
        <v>10660.4</v>
      </c>
      <c r="I634" s="67">
        <f t="shared" si="138"/>
        <v>100</v>
      </c>
    </row>
    <row r="635" spans="1:9" s="119" customFormat="1">
      <c r="A635" s="65" t="s">
        <v>74</v>
      </c>
      <c r="B635" s="66" t="s">
        <v>430</v>
      </c>
      <c r="C635" s="66" t="s">
        <v>424</v>
      </c>
      <c r="D635" s="66" t="s">
        <v>262</v>
      </c>
      <c r="E635" s="66" t="s">
        <v>75</v>
      </c>
      <c r="F635" s="67">
        <f>7955+45+2400+200+60.4</f>
        <v>10660.4</v>
      </c>
      <c r="G635" s="67">
        <v>8138.7560899999999</v>
      </c>
      <c r="H635" s="67">
        <f>7955+45+2400+200+60.4</f>
        <v>10660.4</v>
      </c>
      <c r="I635" s="67">
        <f t="shared" si="138"/>
        <v>100</v>
      </c>
    </row>
    <row r="636" spans="1:9" s="119" customFormat="1">
      <c r="A636" s="58" t="s">
        <v>76</v>
      </c>
      <c r="B636" s="59" t="s">
        <v>430</v>
      </c>
      <c r="C636" s="59" t="s">
        <v>424</v>
      </c>
      <c r="D636" s="59" t="s">
        <v>263</v>
      </c>
      <c r="E636" s="59"/>
      <c r="F636" s="60">
        <f>F637+F639</f>
        <v>737</v>
      </c>
      <c r="G636" s="60">
        <f>G637+G639</f>
        <v>615.51370999999995</v>
      </c>
      <c r="H636" s="60">
        <f>H637+H639</f>
        <v>737</v>
      </c>
      <c r="I636" s="60">
        <f t="shared" si="138"/>
        <v>100</v>
      </c>
    </row>
    <row r="637" spans="1:9" s="119" customFormat="1">
      <c r="A637" s="65" t="s">
        <v>486</v>
      </c>
      <c r="B637" s="66" t="s">
        <v>430</v>
      </c>
      <c r="C637" s="66" t="s">
        <v>424</v>
      </c>
      <c r="D637" s="66" t="s">
        <v>263</v>
      </c>
      <c r="E637" s="66" t="s">
        <v>77</v>
      </c>
      <c r="F637" s="67">
        <f>F638</f>
        <v>722</v>
      </c>
      <c r="G637" s="67">
        <f>G638</f>
        <v>615.51370999999995</v>
      </c>
      <c r="H637" s="67">
        <f>H638</f>
        <v>722</v>
      </c>
      <c r="I637" s="67">
        <f t="shared" si="138"/>
        <v>100</v>
      </c>
    </row>
    <row r="638" spans="1:9" s="119" customFormat="1">
      <c r="A638" s="65" t="s">
        <v>78</v>
      </c>
      <c r="B638" s="66" t="s">
        <v>430</v>
      </c>
      <c r="C638" s="66" t="s">
        <v>424</v>
      </c>
      <c r="D638" s="66" t="s">
        <v>263</v>
      </c>
      <c r="E638" s="66" t="s">
        <v>79</v>
      </c>
      <c r="F638" s="67">
        <f>487+235</f>
        <v>722</v>
      </c>
      <c r="G638" s="67">
        <v>615.51370999999995</v>
      </c>
      <c r="H638" s="67">
        <f>487+235</f>
        <v>722</v>
      </c>
      <c r="I638" s="67">
        <f t="shared" si="138"/>
        <v>100</v>
      </c>
    </row>
    <row r="639" spans="1:9" s="119" customFormat="1">
      <c r="A639" s="65" t="s">
        <v>80</v>
      </c>
      <c r="B639" s="66" t="s">
        <v>430</v>
      </c>
      <c r="C639" s="66" t="s">
        <v>424</v>
      </c>
      <c r="D639" s="66" t="s">
        <v>263</v>
      </c>
      <c r="E639" s="66" t="s">
        <v>81</v>
      </c>
      <c r="F639" s="67">
        <f>F640</f>
        <v>15</v>
      </c>
      <c r="G639" s="279">
        <f>G640</f>
        <v>0</v>
      </c>
      <c r="H639" s="67">
        <f>H640</f>
        <v>15</v>
      </c>
      <c r="I639" s="67">
        <f t="shared" si="138"/>
        <v>100</v>
      </c>
    </row>
    <row r="640" spans="1:9" s="119" customFormat="1">
      <c r="A640" s="65" t="s">
        <v>445</v>
      </c>
      <c r="B640" s="66" t="s">
        <v>430</v>
      </c>
      <c r="C640" s="66" t="s">
        <v>424</v>
      </c>
      <c r="D640" s="66" t="s">
        <v>263</v>
      </c>
      <c r="E640" s="66" t="s">
        <v>82</v>
      </c>
      <c r="F640" s="67">
        <v>15</v>
      </c>
      <c r="G640" s="279">
        <v>0</v>
      </c>
      <c r="H640" s="67">
        <v>15</v>
      </c>
      <c r="I640" s="67">
        <f t="shared" si="138"/>
        <v>100</v>
      </c>
    </row>
    <row r="641" spans="1:9" s="119" customFormat="1" ht="27">
      <c r="A641" s="69" t="s">
        <v>674</v>
      </c>
      <c r="B641" s="61" t="s">
        <v>430</v>
      </c>
      <c r="C641" s="61" t="s">
        <v>424</v>
      </c>
      <c r="D641" s="61" t="s">
        <v>243</v>
      </c>
      <c r="E641" s="61"/>
      <c r="F641" s="62">
        <f>F642+F645+F648</f>
        <v>120634.82500000001</v>
      </c>
      <c r="G641" s="62">
        <f t="shared" ref="G641:H641" si="140">G642+G645+G648</f>
        <v>78462.393031</v>
      </c>
      <c r="H641" s="62">
        <f t="shared" si="140"/>
        <v>119234.82500000001</v>
      </c>
      <c r="I641" s="62">
        <f t="shared" si="138"/>
        <v>98.839472764187292</v>
      </c>
    </row>
    <row r="642" spans="1:9" s="119" customFormat="1">
      <c r="A642" s="85" t="s">
        <v>151</v>
      </c>
      <c r="B642" s="59" t="s">
        <v>430</v>
      </c>
      <c r="C642" s="59" t="s">
        <v>424</v>
      </c>
      <c r="D642" s="106" t="s">
        <v>619</v>
      </c>
      <c r="E642" s="59"/>
      <c r="F642" s="60">
        <f t="shared" ref="F642:H643" si="141">F643</f>
        <v>86225.119000000006</v>
      </c>
      <c r="G642" s="60">
        <f t="shared" si="141"/>
        <v>55345.522819999998</v>
      </c>
      <c r="H642" s="60">
        <f t="shared" si="141"/>
        <v>84825.119000000006</v>
      </c>
      <c r="I642" s="60">
        <f t="shared" si="138"/>
        <v>98.376343209221901</v>
      </c>
    </row>
    <row r="643" spans="1:9" s="119" customFormat="1">
      <c r="A643" s="65" t="s">
        <v>486</v>
      </c>
      <c r="B643" s="66" t="s">
        <v>430</v>
      </c>
      <c r="C643" s="66" t="s">
        <v>424</v>
      </c>
      <c r="D643" s="107" t="s">
        <v>619</v>
      </c>
      <c r="E643" s="66" t="s">
        <v>77</v>
      </c>
      <c r="F643" s="67">
        <f t="shared" si="141"/>
        <v>86225.119000000006</v>
      </c>
      <c r="G643" s="67">
        <f t="shared" si="141"/>
        <v>55345.522819999998</v>
      </c>
      <c r="H643" s="67">
        <f t="shared" si="141"/>
        <v>84825.119000000006</v>
      </c>
      <c r="I643" s="67">
        <f t="shared" si="138"/>
        <v>98.376343209221901</v>
      </c>
    </row>
    <row r="644" spans="1:9" s="119" customFormat="1">
      <c r="A644" s="65" t="s">
        <v>78</v>
      </c>
      <c r="B644" s="66" t="s">
        <v>430</v>
      </c>
      <c r="C644" s="66" t="s">
        <v>424</v>
      </c>
      <c r="D644" s="107" t="s">
        <v>619</v>
      </c>
      <c r="E644" s="66" t="s">
        <v>79</v>
      </c>
      <c r="F644" s="67">
        <f>25000+16000+15250+2717.575+11773.091+477.323+5000-1192.87+11200</f>
        <v>86225.119000000006</v>
      </c>
      <c r="G644" s="67">
        <v>55345.522819999998</v>
      </c>
      <c r="H644" s="67">
        <f>25000+16000+15250+2717.575+11773.091+477.323+5000-1192.87+11200-1400</f>
        <v>84825.119000000006</v>
      </c>
      <c r="I644" s="67">
        <f t="shared" si="138"/>
        <v>98.376343209221901</v>
      </c>
    </row>
    <row r="645" spans="1:9" s="119" customFormat="1">
      <c r="A645" s="58" t="s">
        <v>620</v>
      </c>
      <c r="B645" s="59" t="s">
        <v>430</v>
      </c>
      <c r="C645" s="59" t="s">
        <v>424</v>
      </c>
      <c r="D645" s="106" t="s">
        <v>621</v>
      </c>
      <c r="E645" s="59"/>
      <c r="F645" s="60">
        <f t="shared" ref="F645:H646" si="142">F646</f>
        <v>32000</v>
      </c>
      <c r="G645" s="60">
        <f t="shared" si="142"/>
        <v>20740.951000000001</v>
      </c>
      <c r="H645" s="60">
        <f t="shared" si="142"/>
        <v>32000</v>
      </c>
      <c r="I645" s="60">
        <f t="shared" si="138"/>
        <v>100</v>
      </c>
    </row>
    <row r="646" spans="1:9" s="119" customFormat="1">
      <c r="A646" s="65" t="s">
        <v>486</v>
      </c>
      <c r="B646" s="66" t="s">
        <v>430</v>
      </c>
      <c r="C646" s="66" t="s">
        <v>424</v>
      </c>
      <c r="D646" s="66" t="s">
        <v>621</v>
      </c>
      <c r="E646" s="66" t="s">
        <v>77</v>
      </c>
      <c r="F646" s="67">
        <f t="shared" si="142"/>
        <v>32000</v>
      </c>
      <c r="G646" s="67">
        <f t="shared" si="142"/>
        <v>20740.951000000001</v>
      </c>
      <c r="H646" s="67">
        <f t="shared" si="142"/>
        <v>32000</v>
      </c>
      <c r="I646" s="67">
        <f t="shared" si="138"/>
        <v>100</v>
      </c>
    </row>
    <row r="647" spans="1:9" s="119" customFormat="1">
      <c r="A647" s="65" t="s">
        <v>78</v>
      </c>
      <c r="B647" s="66" t="s">
        <v>430</v>
      </c>
      <c r="C647" s="66" t="s">
        <v>424</v>
      </c>
      <c r="D647" s="66" t="s">
        <v>621</v>
      </c>
      <c r="E647" s="66" t="s">
        <v>79</v>
      </c>
      <c r="F647" s="67">
        <v>32000</v>
      </c>
      <c r="G647" s="67">
        <v>20740.951000000001</v>
      </c>
      <c r="H647" s="67">
        <v>32000</v>
      </c>
      <c r="I647" s="67">
        <f t="shared" si="138"/>
        <v>100</v>
      </c>
    </row>
    <row r="648" spans="1:9" s="119" customFormat="1">
      <c r="A648" s="85" t="s">
        <v>120</v>
      </c>
      <c r="B648" s="59" t="s">
        <v>430</v>
      </c>
      <c r="C648" s="59" t="s">
        <v>424</v>
      </c>
      <c r="D648" s="59" t="s">
        <v>612</v>
      </c>
      <c r="E648" s="59"/>
      <c r="F648" s="78">
        <f>F649</f>
        <v>2409.7060000000001</v>
      </c>
      <c r="G648" s="78">
        <f t="shared" ref="G648:H648" si="143">G649</f>
        <v>2375.9192109999999</v>
      </c>
      <c r="H648" s="78">
        <f t="shared" si="143"/>
        <v>2409.7060000000001</v>
      </c>
      <c r="I648" s="78">
        <f t="shared" si="138"/>
        <v>100</v>
      </c>
    </row>
    <row r="649" spans="1:9" s="119" customFormat="1">
      <c r="A649" s="65" t="s">
        <v>486</v>
      </c>
      <c r="B649" s="66" t="s">
        <v>430</v>
      </c>
      <c r="C649" s="66" t="s">
        <v>424</v>
      </c>
      <c r="D649" s="66" t="s">
        <v>612</v>
      </c>
      <c r="E649" s="66" t="s">
        <v>77</v>
      </c>
      <c r="F649" s="79">
        <f>F650</f>
        <v>2409.7060000000001</v>
      </c>
      <c r="G649" s="79">
        <f>G650</f>
        <v>2375.9192109999999</v>
      </c>
      <c r="H649" s="79">
        <f>H650</f>
        <v>2409.7060000000001</v>
      </c>
      <c r="I649" s="79">
        <f t="shared" si="138"/>
        <v>100</v>
      </c>
    </row>
    <row r="650" spans="1:9" s="119" customFormat="1">
      <c r="A650" s="65" t="s">
        <v>78</v>
      </c>
      <c r="B650" s="66" t="s">
        <v>430</v>
      </c>
      <c r="C650" s="66" t="s">
        <v>424</v>
      </c>
      <c r="D650" s="66" t="s">
        <v>612</v>
      </c>
      <c r="E650" s="66" t="s">
        <v>79</v>
      </c>
      <c r="F650" s="79">
        <f>700+500+209.706+500+500</f>
        <v>2409.7060000000001</v>
      </c>
      <c r="G650" s="79">
        <v>2375.9192109999999</v>
      </c>
      <c r="H650" s="79">
        <f>700+500+209.706+500+500</f>
        <v>2409.7060000000001</v>
      </c>
      <c r="I650" s="79">
        <f t="shared" si="138"/>
        <v>100</v>
      </c>
    </row>
    <row r="651" spans="1:9" s="119" customFormat="1">
      <c r="A651" s="70" t="s">
        <v>396</v>
      </c>
      <c r="B651" s="71" t="s">
        <v>430</v>
      </c>
      <c r="C651" s="71" t="s">
        <v>424</v>
      </c>
      <c r="D651" s="71" t="s">
        <v>187</v>
      </c>
      <c r="E651" s="59"/>
      <c r="F651" s="72">
        <f>F652</f>
        <v>11193.996000000001</v>
      </c>
      <c r="G651" s="72">
        <f>G652</f>
        <v>1256.39599</v>
      </c>
      <c r="H651" s="72">
        <f>H652</f>
        <v>11193.996000000001</v>
      </c>
      <c r="I651" s="72">
        <f t="shared" si="138"/>
        <v>100</v>
      </c>
    </row>
    <row r="652" spans="1:9" s="119" customFormat="1">
      <c r="A652" s="58" t="s">
        <v>272</v>
      </c>
      <c r="B652" s="59" t="s">
        <v>430</v>
      </c>
      <c r="C652" s="59" t="s">
        <v>424</v>
      </c>
      <c r="D652" s="59" t="s">
        <v>188</v>
      </c>
      <c r="E652" s="59"/>
      <c r="F652" s="60">
        <f>F653+F659</f>
        <v>11193.996000000001</v>
      </c>
      <c r="G652" s="60">
        <f>G653+G659</f>
        <v>1256.39599</v>
      </c>
      <c r="H652" s="60">
        <f>H653+H659</f>
        <v>11193.996000000001</v>
      </c>
      <c r="I652" s="60">
        <f t="shared" si="138"/>
        <v>100</v>
      </c>
    </row>
    <row r="653" spans="1:9" s="119" customFormat="1" ht="24">
      <c r="A653" s="89" t="s">
        <v>756</v>
      </c>
      <c r="B653" s="71" t="s">
        <v>430</v>
      </c>
      <c r="C653" s="71" t="s">
        <v>424</v>
      </c>
      <c r="D653" s="71" t="s">
        <v>757</v>
      </c>
      <c r="E653" s="71"/>
      <c r="F653" s="72">
        <f>F656+F654</f>
        <v>10853.28</v>
      </c>
      <c r="G653" s="72">
        <f t="shared" ref="G653:H653" si="144">G656+G654</f>
        <v>915.68000000000006</v>
      </c>
      <c r="H653" s="72">
        <f t="shared" si="144"/>
        <v>10853.28</v>
      </c>
      <c r="I653" s="72">
        <f t="shared" si="138"/>
        <v>100</v>
      </c>
    </row>
    <row r="654" spans="1:9" s="119" customFormat="1">
      <c r="A654" s="65" t="s">
        <v>486</v>
      </c>
      <c r="B654" s="66" t="s">
        <v>430</v>
      </c>
      <c r="C654" s="66" t="s">
        <v>424</v>
      </c>
      <c r="D654" s="66" t="s">
        <v>757</v>
      </c>
      <c r="E654" s="66" t="s">
        <v>77</v>
      </c>
      <c r="F654" s="67">
        <f>F655</f>
        <v>9937.6</v>
      </c>
      <c r="G654" s="279">
        <f t="shared" ref="G654:H654" si="145">G655</f>
        <v>0</v>
      </c>
      <c r="H654" s="67">
        <f t="shared" si="145"/>
        <v>9937.6</v>
      </c>
      <c r="I654" s="67">
        <f t="shared" si="138"/>
        <v>100</v>
      </c>
    </row>
    <row r="655" spans="1:9" s="119" customFormat="1">
      <c r="A655" s="65" t="s">
        <v>78</v>
      </c>
      <c r="B655" s="66" t="s">
        <v>430</v>
      </c>
      <c r="C655" s="66" t="s">
        <v>424</v>
      </c>
      <c r="D655" s="66" t="s">
        <v>757</v>
      </c>
      <c r="E655" s="66" t="s">
        <v>79</v>
      </c>
      <c r="F655" s="67">
        <v>9937.6</v>
      </c>
      <c r="G655" s="279">
        <v>0</v>
      </c>
      <c r="H655" s="67">
        <v>9937.6</v>
      </c>
      <c r="I655" s="67">
        <f t="shared" si="138"/>
        <v>100</v>
      </c>
    </row>
    <row r="656" spans="1:9" s="119" customFormat="1">
      <c r="A656" s="65" t="s">
        <v>94</v>
      </c>
      <c r="B656" s="66" t="s">
        <v>430</v>
      </c>
      <c r="C656" s="66" t="s">
        <v>424</v>
      </c>
      <c r="D656" s="66" t="s">
        <v>757</v>
      </c>
      <c r="E656" s="66" t="s">
        <v>362</v>
      </c>
      <c r="F656" s="67">
        <f>F657+F658</f>
        <v>915.68000000000006</v>
      </c>
      <c r="G656" s="67">
        <f>G657+G658</f>
        <v>915.68000000000006</v>
      </c>
      <c r="H656" s="67">
        <f>H657+H658</f>
        <v>915.68000000000006</v>
      </c>
      <c r="I656" s="67">
        <f t="shared" si="138"/>
        <v>100</v>
      </c>
    </row>
    <row r="657" spans="1:9" s="119" customFormat="1">
      <c r="A657" s="65" t="s">
        <v>95</v>
      </c>
      <c r="B657" s="66" t="s">
        <v>430</v>
      </c>
      <c r="C657" s="66" t="s">
        <v>424</v>
      </c>
      <c r="D657" s="66" t="s">
        <v>757</v>
      </c>
      <c r="E657" s="66" t="s">
        <v>371</v>
      </c>
      <c r="F657" s="67">
        <v>861.36</v>
      </c>
      <c r="G657" s="67">
        <v>861.36</v>
      </c>
      <c r="H657" s="67">
        <v>861.36</v>
      </c>
      <c r="I657" s="67">
        <f t="shared" si="138"/>
        <v>100</v>
      </c>
    </row>
    <row r="658" spans="1:9" s="119" customFormat="1">
      <c r="A658" s="65" t="s">
        <v>447</v>
      </c>
      <c r="B658" s="66" t="s">
        <v>430</v>
      </c>
      <c r="C658" s="66" t="s">
        <v>424</v>
      </c>
      <c r="D658" s="66" t="s">
        <v>757</v>
      </c>
      <c r="E658" s="66" t="s">
        <v>448</v>
      </c>
      <c r="F658" s="67">
        <v>54.32</v>
      </c>
      <c r="G658" s="67">
        <v>54.32</v>
      </c>
      <c r="H658" s="67">
        <v>54.32</v>
      </c>
      <c r="I658" s="67">
        <f t="shared" si="138"/>
        <v>100</v>
      </c>
    </row>
    <row r="659" spans="1:9" s="23" customFormat="1">
      <c r="A659" s="133" t="s">
        <v>774</v>
      </c>
      <c r="B659" s="132" t="s">
        <v>430</v>
      </c>
      <c r="C659" s="132" t="s">
        <v>424</v>
      </c>
      <c r="D659" s="132" t="s">
        <v>769</v>
      </c>
      <c r="E659" s="132"/>
      <c r="F659" s="158">
        <f t="shared" ref="F659:H660" si="146">F660</f>
        <v>340.71600000000001</v>
      </c>
      <c r="G659" s="158">
        <f t="shared" si="146"/>
        <v>340.71598999999998</v>
      </c>
      <c r="H659" s="158">
        <f t="shared" si="146"/>
        <v>340.71600000000001</v>
      </c>
      <c r="I659" s="158">
        <f t="shared" si="138"/>
        <v>100</v>
      </c>
    </row>
    <row r="660" spans="1:9" s="23" customFormat="1" ht="24">
      <c r="A660" s="131" t="s">
        <v>72</v>
      </c>
      <c r="B660" s="22" t="s">
        <v>430</v>
      </c>
      <c r="C660" s="22" t="s">
        <v>424</v>
      </c>
      <c r="D660" s="22" t="s">
        <v>769</v>
      </c>
      <c r="E660" s="22" t="s">
        <v>73</v>
      </c>
      <c r="F660" s="156">
        <f t="shared" si="146"/>
        <v>340.71600000000001</v>
      </c>
      <c r="G660" s="156">
        <f t="shared" si="146"/>
        <v>340.71598999999998</v>
      </c>
      <c r="H660" s="156">
        <f t="shared" si="146"/>
        <v>340.71600000000001</v>
      </c>
      <c r="I660" s="156">
        <f t="shared" si="138"/>
        <v>100</v>
      </c>
    </row>
    <row r="661" spans="1:9" s="23" customFormat="1">
      <c r="A661" s="131" t="s">
        <v>74</v>
      </c>
      <c r="B661" s="22" t="s">
        <v>430</v>
      </c>
      <c r="C661" s="22" t="s">
        <v>424</v>
      </c>
      <c r="D661" s="22" t="s">
        <v>769</v>
      </c>
      <c r="E661" s="22" t="s">
        <v>75</v>
      </c>
      <c r="F661" s="156">
        <v>340.71600000000001</v>
      </c>
      <c r="G661" s="156">
        <v>340.71598999999998</v>
      </c>
      <c r="H661" s="156">
        <v>340.71600000000001</v>
      </c>
      <c r="I661" s="156">
        <f t="shared" si="138"/>
        <v>100</v>
      </c>
    </row>
    <row r="662" spans="1:9" s="119" customFormat="1">
      <c r="A662" s="58" t="s">
        <v>585</v>
      </c>
      <c r="B662" s="59" t="s">
        <v>428</v>
      </c>
      <c r="C662" s="59" t="s">
        <v>70</v>
      </c>
      <c r="D662" s="59"/>
      <c r="E662" s="59"/>
      <c r="F662" s="60">
        <f>F663+F677</f>
        <v>127706.75444999999</v>
      </c>
      <c r="G662" s="60">
        <f>G663+G677</f>
        <v>94409.77549</v>
      </c>
      <c r="H662" s="60">
        <f>H663+H677</f>
        <v>122605.65445</v>
      </c>
      <c r="I662" s="60">
        <f t="shared" si="138"/>
        <v>96.005614564422132</v>
      </c>
    </row>
    <row r="663" spans="1:9" s="119" customFormat="1">
      <c r="A663" s="58" t="s">
        <v>342</v>
      </c>
      <c r="B663" s="59" t="s">
        <v>428</v>
      </c>
      <c r="C663" s="59" t="s">
        <v>69</v>
      </c>
      <c r="D663" s="59"/>
      <c r="E663" s="59"/>
      <c r="F663" s="60">
        <f t="shared" ref="F663:H664" si="147">F664</f>
        <v>92615.2</v>
      </c>
      <c r="G663" s="60">
        <f t="shared" si="147"/>
        <v>72725.436489999993</v>
      </c>
      <c r="H663" s="60">
        <f t="shared" si="147"/>
        <v>88114.2</v>
      </c>
      <c r="I663" s="60">
        <f t="shared" si="138"/>
        <v>95.140106591574607</v>
      </c>
    </row>
    <row r="664" spans="1:9" s="119" customFormat="1" ht="13.5">
      <c r="A664" s="69" t="s">
        <v>583</v>
      </c>
      <c r="B664" s="61" t="s">
        <v>428</v>
      </c>
      <c r="C664" s="61" t="s">
        <v>69</v>
      </c>
      <c r="D664" s="61" t="s">
        <v>227</v>
      </c>
      <c r="E664" s="61"/>
      <c r="F664" s="62">
        <f t="shared" si="147"/>
        <v>92615.2</v>
      </c>
      <c r="G664" s="62">
        <f t="shared" si="147"/>
        <v>72725.436489999993</v>
      </c>
      <c r="H664" s="62">
        <f t="shared" si="147"/>
        <v>88114.2</v>
      </c>
      <c r="I664" s="62">
        <f t="shared" si="138"/>
        <v>95.140106591574607</v>
      </c>
    </row>
    <row r="665" spans="1:9" s="119" customFormat="1">
      <c r="A665" s="58" t="s">
        <v>320</v>
      </c>
      <c r="B665" s="59" t="s">
        <v>428</v>
      </c>
      <c r="C665" s="59" t="s">
        <v>69</v>
      </c>
      <c r="D665" s="59" t="s">
        <v>228</v>
      </c>
      <c r="E665" s="59"/>
      <c r="F665" s="60">
        <f>F666+F670+F673</f>
        <v>92615.2</v>
      </c>
      <c r="G665" s="60">
        <f t="shared" ref="G665:H665" si="148">G666+G670+G673</f>
        <v>72725.436489999993</v>
      </c>
      <c r="H665" s="60">
        <f t="shared" si="148"/>
        <v>88114.2</v>
      </c>
      <c r="I665" s="60">
        <f t="shared" si="138"/>
        <v>95.140106591574607</v>
      </c>
    </row>
    <row r="666" spans="1:9" s="119" customFormat="1" ht="24">
      <c r="A666" s="58" t="s">
        <v>264</v>
      </c>
      <c r="B666" s="59" t="s">
        <v>428</v>
      </c>
      <c r="C666" s="59" t="s">
        <v>69</v>
      </c>
      <c r="D666" s="59" t="s">
        <v>236</v>
      </c>
      <c r="E666" s="59"/>
      <c r="F666" s="60">
        <f t="shared" ref="F666:H668" si="149">F667</f>
        <v>19626</v>
      </c>
      <c r="G666" s="60">
        <f t="shared" si="149"/>
        <v>15854.48119</v>
      </c>
      <c r="H666" s="60">
        <f t="shared" si="149"/>
        <v>19626</v>
      </c>
      <c r="I666" s="60">
        <f t="shared" si="138"/>
        <v>100</v>
      </c>
    </row>
    <row r="667" spans="1:9" s="119" customFormat="1">
      <c r="A667" s="87" t="s">
        <v>375</v>
      </c>
      <c r="B667" s="83" t="s">
        <v>428</v>
      </c>
      <c r="C667" s="83" t="s">
        <v>69</v>
      </c>
      <c r="D667" s="83" t="s">
        <v>599</v>
      </c>
      <c r="E667" s="83"/>
      <c r="F667" s="88">
        <f t="shared" si="149"/>
        <v>19626</v>
      </c>
      <c r="G667" s="88">
        <f t="shared" si="149"/>
        <v>15854.48119</v>
      </c>
      <c r="H667" s="88">
        <f t="shared" si="149"/>
        <v>19626</v>
      </c>
      <c r="I667" s="88">
        <f t="shared" si="138"/>
        <v>100</v>
      </c>
    </row>
    <row r="668" spans="1:9" s="119" customFormat="1">
      <c r="A668" s="65" t="s">
        <v>94</v>
      </c>
      <c r="B668" s="66" t="s">
        <v>428</v>
      </c>
      <c r="C668" s="66" t="s">
        <v>69</v>
      </c>
      <c r="D668" s="66" t="s">
        <v>599</v>
      </c>
      <c r="E668" s="66" t="s">
        <v>362</v>
      </c>
      <c r="F668" s="67">
        <f t="shared" si="149"/>
        <v>19626</v>
      </c>
      <c r="G668" s="67">
        <f t="shared" si="149"/>
        <v>15854.48119</v>
      </c>
      <c r="H668" s="67">
        <f t="shared" si="149"/>
        <v>19626</v>
      </c>
      <c r="I668" s="67">
        <f t="shared" si="138"/>
        <v>100</v>
      </c>
    </row>
    <row r="669" spans="1:9" s="119" customFormat="1">
      <c r="A669" s="65" t="s">
        <v>95</v>
      </c>
      <c r="B669" s="66" t="s">
        <v>428</v>
      </c>
      <c r="C669" s="66" t="s">
        <v>69</v>
      </c>
      <c r="D669" s="66" t="s">
        <v>599</v>
      </c>
      <c r="E669" s="66" t="s">
        <v>371</v>
      </c>
      <c r="F669" s="67">
        <f>1935.5+1370+1565+11298.5-543+500+3500</f>
        <v>19626</v>
      </c>
      <c r="G669" s="67">
        <v>15854.48119</v>
      </c>
      <c r="H669" s="67">
        <f>1935.5+1370+1565+11298.5-543+500+3500</f>
        <v>19626</v>
      </c>
      <c r="I669" s="67">
        <f t="shared" si="138"/>
        <v>100</v>
      </c>
    </row>
    <row r="670" spans="1:9" s="119" customFormat="1" ht="24">
      <c r="A670" s="70" t="s">
        <v>28</v>
      </c>
      <c r="B670" s="71" t="s">
        <v>428</v>
      </c>
      <c r="C670" s="71" t="s">
        <v>69</v>
      </c>
      <c r="D670" s="71" t="s">
        <v>237</v>
      </c>
      <c r="E670" s="71"/>
      <c r="F670" s="80">
        <f t="shared" ref="F670:H671" si="150">F671</f>
        <v>37207</v>
      </c>
      <c r="G670" s="80">
        <f t="shared" si="150"/>
        <v>31003.3</v>
      </c>
      <c r="H670" s="80">
        <f t="shared" si="150"/>
        <v>37207</v>
      </c>
      <c r="I670" s="80">
        <f t="shared" si="138"/>
        <v>100</v>
      </c>
    </row>
    <row r="671" spans="1:9" s="119" customFormat="1">
      <c r="A671" s="65" t="s">
        <v>94</v>
      </c>
      <c r="B671" s="66" t="s">
        <v>428</v>
      </c>
      <c r="C671" s="66" t="s">
        <v>69</v>
      </c>
      <c r="D671" s="66" t="s">
        <v>237</v>
      </c>
      <c r="E671" s="66" t="s">
        <v>362</v>
      </c>
      <c r="F671" s="79">
        <f t="shared" si="150"/>
        <v>37207</v>
      </c>
      <c r="G671" s="79">
        <f t="shared" si="150"/>
        <v>31003.3</v>
      </c>
      <c r="H671" s="79">
        <f t="shared" si="150"/>
        <v>37207</v>
      </c>
      <c r="I671" s="79">
        <f t="shared" si="138"/>
        <v>100</v>
      </c>
    </row>
    <row r="672" spans="1:9" s="119" customFormat="1">
      <c r="A672" s="65" t="s">
        <v>95</v>
      </c>
      <c r="B672" s="66" t="s">
        <v>428</v>
      </c>
      <c r="C672" s="66" t="s">
        <v>69</v>
      </c>
      <c r="D672" s="66" t="s">
        <v>237</v>
      </c>
      <c r="E672" s="66" t="s">
        <v>371</v>
      </c>
      <c r="F672" s="79">
        <f>36539+668</f>
        <v>37207</v>
      </c>
      <c r="G672" s="79">
        <v>31003.3</v>
      </c>
      <c r="H672" s="79">
        <f>36539+668</f>
        <v>37207</v>
      </c>
      <c r="I672" s="79">
        <f t="shared" si="138"/>
        <v>100</v>
      </c>
    </row>
    <row r="673" spans="1:9" s="119" customFormat="1">
      <c r="A673" s="58" t="s">
        <v>488</v>
      </c>
      <c r="B673" s="59" t="s">
        <v>428</v>
      </c>
      <c r="C673" s="59" t="s">
        <v>69</v>
      </c>
      <c r="D673" s="59" t="s">
        <v>238</v>
      </c>
      <c r="E673" s="59"/>
      <c r="F673" s="60">
        <f t="shared" ref="F673:H675" si="151">F674</f>
        <v>35782.199999999997</v>
      </c>
      <c r="G673" s="60">
        <f t="shared" si="151"/>
        <v>25867.655299999999</v>
      </c>
      <c r="H673" s="60">
        <f t="shared" si="151"/>
        <v>31281.199999999997</v>
      </c>
      <c r="I673" s="60">
        <f t="shared" si="138"/>
        <v>87.42111999821141</v>
      </c>
    </row>
    <row r="674" spans="1:9" s="119" customFormat="1">
      <c r="A674" s="87" t="s">
        <v>444</v>
      </c>
      <c r="B674" s="83" t="s">
        <v>428</v>
      </c>
      <c r="C674" s="83" t="s">
        <v>69</v>
      </c>
      <c r="D674" s="83" t="s">
        <v>598</v>
      </c>
      <c r="E674" s="71"/>
      <c r="F674" s="88">
        <f t="shared" si="151"/>
        <v>35782.199999999997</v>
      </c>
      <c r="G674" s="88">
        <f t="shared" si="151"/>
        <v>25867.655299999999</v>
      </c>
      <c r="H674" s="88">
        <f t="shared" si="151"/>
        <v>31281.199999999997</v>
      </c>
      <c r="I674" s="88">
        <f t="shared" si="138"/>
        <v>87.42111999821141</v>
      </c>
    </row>
    <row r="675" spans="1:9" s="119" customFormat="1">
      <c r="A675" s="65" t="s">
        <v>94</v>
      </c>
      <c r="B675" s="66" t="s">
        <v>428</v>
      </c>
      <c r="C675" s="66" t="s">
        <v>69</v>
      </c>
      <c r="D675" s="66" t="s">
        <v>598</v>
      </c>
      <c r="E675" s="66" t="s">
        <v>362</v>
      </c>
      <c r="F675" s="67">
        <f t="shared" si="151"/>
        <v>35782.199999999997</v>
      </c>
      <c r="G675" s="67">
        <f t="shared" si="151"/>
        <v>25867.655299999999</v>
      </c>
      <c r="H675" s="67">
        <f t="shared" si="151"/>
        <v>31281.199999999997</v>
      </c>
      <c r="I675" s="67">
        <f t="shared" si="138"/>
        <v>87.42111999821141</v>
      </c>
    </row>
    <row r="676" spans="1:9" s="119" customFormat="1">
      <c r="A676" s="65" t="s">
        <v>95</v>
      </c>
      <c r="B676" s="66" t="s">
        <v>428</v>
      </c>
      <c r="C676" s="66" t="s">
        <v>69</v>
      </c>
      <c r="D676" s="66" t="s">
        <v>598</v>
      </c>
      <c r="E676" s="66" t="s">
        <v>371</v>
      </c>
      <c r="F676" s="67">
        <f>38081.1-783.9-1515</f>
        <v>35782.199999999997</v>
      </c>
      <c r="G676" s="67">
        <v>25867.655299999999</v>
      </c>
      <c r="H676" s="67">
        <f>38081.1-783.9-1515-4501</f>
        <v>31281.199999999997</v>
      </c>
      <c r="I676" s="67">
        <f t="shared" si="138"/>
        <v>87.42111999821141</v>
      </c>
    </row>
    <row r="677" spans="1:9" s="119" customFormat="1">
      <c r="A677" s="58" t="s">
        <v>408</v>
      </c>
      <c r="B677" s="59" t="s">
        <v>428</v>
      </c>
      <c r="C677" s="59" t="s">
        <v>71</v>
      </c>
      <c r="D677" s="59"/>
      <c r="E677" s="59"/>
      <c r="F677" s="60">
        <f>F678+F685+F721+F731</f>
        <v>35091.554449999996</v>
      </c>
      <c r="G677" s="60">
        <f>G678+G685+G721+G731</f>
        <v>21684.339</v>
      </c>
      <c r="H677" s="60">
        <f>H678+H685+H721+H731</f>
        <v>34491.454449999997</v>
      </c>
      <c r="I677" s="60">
        <f t="shared" si="138"/>
        <v>98.28990191684143</v>
      </c>
    </row>
    <row r="678" spans="1:9" s="119" customFormat="1" ht="13.5">
      <c r="A678" s="69" t="s">
        <v>671</v>
      </c>
      <c r="B678" s="61" t="s">
        <v>428</v>
      </c>
      <c r="C678" s="61" t="s">
        <v>71</v>
      </c>
      <c r="D678" s="93" t="s">
        <v>225</v>
      </c>
      <c r="E678" s="61"/>
      <c r="F678" s="62">
        <f>F679+F682</f>
        <v>127.16200000000001</v>
      </c>
      <c r="G678" s="62">
        <f>G679+G682</f>
        <v>127.16200000000001</v>
      </c>
      <c r="H678" s="62">
        <f>H679+H682</f>
        <v>127.16200000000001</v>
      </c>
      <c r="I678" s="62">
        <f t="shared" si="138"/>
        <v>100</v>
      </c>
    </row>
    <row r="679" spans="1:9" s="119" customFormat="1">
      <c r="A679" s="58" t="s">
        <v>510</v>
      </c>
      <c r="B679" s="59" t="s">
        <v>428</v>
      </c>
      <c r="C679" s="59" t="s">
        <v>71</v>
      </c>
      <c r="D679" s="59" t="s">
        <v>511</v>
      </c>
      <c r="E679" s="59"/>
      <c r="F679" s="78">
        <f t="shared" ref="F679:H680" si="152">F680</f>
        <v>126.66200000000001</v>
      </c>
      <c r="G679" s="78">
        <f t="shared" si="152"/>
        <v>126.66200000000001</v>
      </c>
      <c r="H679" s="78">
        <f t="shared" si="152"/>
        <v>126.66200000000001</v>
      </c>
      <c r="I679" s="78">
        <f t="shared" si="138"/>
        <v>100</v>
      </c>
    </row>
    <row r="680" spans="1:9" s="119" customFormat="1">
      <c r="A680" s="65" t="s">
        <v>486</v>
      </c>
      <c r="B680" s="66" t="s">
        <v>428</v>
      </c>
      <c r="C680" s="66" t="s">
        <v>71</v>
      </c>
      <c r="D680" s="66" t="s">
        <v>511</v>
      </c>
      <c r="E680" s="66" t="s">
        <v>77</v>
      </c>
      <c r="F680" s="79">
        <f t="shared" si="152"/>
        <v>126.66200000000001</v>
      </c>
      <c r="G680" s="79">
        <f t="shared" si="152"/>
        <v>126.66200000000001</v>
      </c>
      <c r="H680" s="79">
        <f t="shared" si="152"/>
        <v>126.66200000000001</v>
      </c>
      <c r="I680" s="79">
        <f t="shared" si="138"/>
        <v>100</v>
      </c>
    </row>
    <row r="681" spans="1:9" s="119" customFormat="1">
      <c r="A681" s="65" t="s">
        <v>78</v>
      </c>
      <c r="B681" s="66" t="s">
        <v>428</v>
      </c>
      <c r="C681" s="66" t="s">
        <v>71</v>
      </c>
      <c r="D681" s="66" t="s">
        <v>511</v>
      </c>
      <c r="E681" s="66" t="s">
        <v>79</v>
      </c>
      <c r="F681" s="67">
        <v>126.66200000000001</v>
      </c>
      <c r="G681" s="67">
        <v>126.66200000000001</v>
      </c>
      <c r="H681" s="67">
        <v>126.66200000000001</v>
      </c>
      <c r="I681" s="67">
        <f t="shared" si="138"/>
        <v>100</v>
      </c>
    </row>
    <row r="682" spans="1:9" s="119" customFormat="1">
      <c r="A682" s="58" t="s">
        <v>512</v>
      </c>
      <c r="B682" s="59" t="s">
        <v>428</v>
      </c>
      <c r="C682" s="59" t="s">
        <v>71</v>
      </c>
      <c r="D682" s="59" t="s">
        <v>513</v>
      </c>
      <c r="E682" s="59"/>
      <c r="F682" s="60">
        <f t="shared" ref="F682:H683" si="153">F683</f>
        <v>0.5</v>
      </c>
      <c r="G682" s="60">
        <f t="shared" si="153"/>
        <v>0.5</v>
      </c>
      <c r="H682" s="60">
        <f t="shared" si="153"/>
        <v>0.5</v>
      </c>
      <c r="I682" s="60">
        <f t="shared" si="138"/>
        <v>100</v>
      </c>
    </row>
    <row r="683" spans="1:9" s="119" customFormat="1">
      <c r="A683" s="65" t="s">
        <v>486</v>
      </c>
      <c r="B683" s="66" t="s">
        <v>428</v>
      </c>
      <c r="C683" s="66" t="s">
        <v>71</v>
      </c>
      <c r="D683" s="66" t="s">
        <v>513</v>
      </c>
      <c r="E683" s="66" t="s">
        <v>77</v>
      </c>
      <c r="F683" s="67">
        <f t="shared" si="153"/>
        <v>0.5</v>
      </c>
      <c r="G683" s="67">
        <f t="shared" si="153"/>
        <v>0.5</v>
      </c>
      <c r="H683" s="67">
        <f t="shared" si="153"/>
        <v>0.5</v>
      </c>
      <c r="I683" s="67">
        <f t="shared" si="138"/>
        <v>100</v>
      </c>
    </row>
    <row r="684" spans="1:9" s="119" customFormat="1">
      <c r="A684" s="65" t="s">
        <v>78</v>
      </c>
      <c r="B684" s="66" t="s">
        <v>428</v>
      </c>
      <c r="C684" s="66" t="s">
        <v>71</v>
      </c>
      <c r="D684" s="66" t="s">
        <v>513</v>
      </c>
      <c r="E684" s="66" t="s">
        <v>79</v>
      </c>
      <c r="F684" s="67">
        <v>0.5</v>
      </c>
      <c r="G684" s="67">
        <v>0.5</v>
      </c>
      <c r="H684" s="67">
        <v>0.5</v>
      </c>
      <c r="I684" s="67">
        <f t="shared" ref="I684:I741" si="154">H684/F684*100</f>
        <v>100</v>
      </c>
    </row>
    <row r="685" spans="1:9" s="119" customFormat="1" ht="13.5">
      <c r="A685" s="69" t="s">
        <v>583</v>
      </c>
      <c r="B685" s="61" t="s">
        <v>428</v>
      </c>
      <c r="C685" s="61" t="s">
        <v>71</v>
      </c>
      <c r="D685" s="61" t="s">
        <v>227</v>
      </c>
      <c r="E685" s="61"/>
      <c r="F685" s="62">
        <f>F686+F710</f>
        <v>32895</v>
      </c>
      <c r="G685" s="62">
        <f>G686+G710</f>
        <v>20672.111499999999</v>
      </c>
      <c r="H685" s="62">
        <f>H686+H710</f>
        <v>32294.9</v>
      </c>
      <c r="I685" s="62">
        <f t="shared" si="154"/>
        <v>98.175710594315248</v>
      </c>
    </row>
    <row r="686" spans="1:9" s="119" customFormat="1" ht="13.5">
      <c r="A686" s="69" t="s">
        <v>68</v>
      </c>
      <c r="B686" s="61" t="s">
        <v>428</v>
      </c>
      <c r="C686" s="61" t="s">
        <v>71</v>
      </c>
      <c r="D686" s="61" t="s">
        <v>242</v>
      </c>
      <c r="E686" s="61"/>
      <c r="F686" s="62">
        <f>F687+F690+F693+F701+F704+F698+F707</f>
        <v>27900</v>
      </c>
      <c r="G686" s="62">
        <f t="shared" ref="G686:H686" si="155">G687+G690+G693+G701+G704+G698+G707</f>
        <v>16902.864999999998</v>
      </c>
      <c r="H686" s="62">
        <f t="shared" si="155"/>
        <v>27299.9</v>
      </c>
      <c r="I686" s="62">
        <f t="shared" si="154"/>
        <v>97.849103942652334</v>
      </c>
    </row>
    <row r="687" spans="1:9" s="119" customFormat="1">
      <c r="A687" s="85" t="s">
        <v>234</v>
      </c>
      <c r="B687" s="59" t="s">
        <v>428</v>
      </c>
      <c r="C687" s="59" t="s">
        <v>71</v>
      </c>
      <c r="D687" s="59" t="s">
        <v>586</v>
      </c>
      <c r="E687" s="71"/>
      <c r="F687" s="60">
        <f t="shared" ref="F687:H688" si="156">F688</f>
        <v>24000</v>
      </c>
      <c r="G687" s="60">
        <f t="shared" si="156"/>
        <v>14152.99</v>
      </c>
      <c r="H687" s="60">
        <f t="shared" si="156"/>
        <v>24000</v>
      </c>
      <c r="I687" s="60">
        <f t="shared" si="154"/>
        <v>100</v>
      </c>
    </row>
    <row r="688" spans="1:9" s="119" customFormat="1">
      <c r="A688" s="65" t="s">
        <v>486</v>
      </c>
      <c r="B688" s="66" t="s">
        <v>428</v>
      </c>
      <c r="C688" s="66" t="s">
        <v>71</v>
      </c>
      <c r="D688" s="66" t="s">
        <v>586</v>
      </c>
      <c r="E688" s="66" t="s">
        <v>77</v>
      </c>
      <c r="F688" s="67">
        <f t="shared" si="156"/>
        <v>24000</v>
      </c>
      <c r="G688" s="67">
        <f t="shared" si="156"/>
        <v>14152.99</v>
      </c>
      <c r="H688" s="67">
        <f t="shared" si="156"/>
        <v>24000</v>
      </c>
      <c r="I688" s="67">
        <f t="shared" si="154"/>
        <v>100</v>
      </c>
    </row>
    <row r="689" spans="1:9" s="119" customFormat="1">
      <c r="A689" s="65" t="s">
        <v>78</v>
      </c>
      <c r="B689" s="66" t="s">
        <v>428</v>
      </c>
      <c r="C689" s="66" t="s">
        <v>71</v>
      </c>
      <c r="D689" s="66" t="s">
        <v>586</v>
      </c>
      <c r="E689" s="66" t="s">
        <v>79</v>
      </c>
      <c r="F689" s="67">
        <f>18500+500+5000</f>
        <v>24000</v>
      </c>
      <c r="G689" s="67">
        <v>14152.99</v>
      </c>
      <c r="H689" s="67">
        <f>18500+500+5000</f>
        <v>24000</v>
      </c>
      <c r="I689" s="67">
        <f t="shared" si="154"/>
        <v>100</v>
      </c>
    </row>
    <row r="690" spans="1:9" s="119" customFormat="1">
      <c r="A690" s="85" t="s">
        <v>316</v>
      </c>
      <c r="B690" s="59" t="s">
        <v>428</v>
      </c>
      <c r="C690" s="59" t="s">
        <v>71</v>
      </c>
      <c r="D690" s="59" t="s">
        <v>587</v>
      </c>
      <c r="E690" s="71"/>
      <c r="F690" s="60">
        <f t="shared" ref="F690:H691" si="157">F691</f>
        <v>350</v>
      </c>
      <c r="G690" s="60">
        <f t="shared" si="157"/>
        <v>349.875</v>
      </c>
      <c r="H690" s="60">
        <f t="shared" si="157"/>
        <v>349.9</v>
      </c>
      <c r="I690" s="60">
        <f t="shared" si="154"/>
        <v>99.971428571428561</v>
      </c>
    </row>
    <row r="691" spans="1:9" s="119" customFormat="1">
      <c r="A691" s="65" t="s">
        <v>486</v>
      </c>
      <c r="B691" s="66" t="s">
        <v>428</v>
      </c>
      <c r="C691" s="66" t="s">
        <v>71</v>
      </c>
      <c r="D691" s="66" t="s">
        <v>587</v>
      </c>
      <c r="E691" s="66" t="s">
        <v>77</v>
      </c>
      <c r="F691" s="67">
        <f t="shared" si="157"/>
        <v>350</v>
      </c>
      <c r="G691" s="67">
        <f t="shared" si="157"/>
        <v>349.875</v>
      </c>
      <c r="H691" s="67">
        <f t="shared" si="157"/>
        <v>349.9</v>
      </c>
      <c r="I691" s="67">
        <f t="shared" si="154"/>
        <v>99.971428571428561</v>
      </c>
    </row>
    <row r="692" spans="1:9" s="119" customFormat="1">
      <c r="A692" s="65" t="s">
        <v>78</v>
      </c>
      <c r="B692" s="66" t="s">
        <v>428</v>
      </c>
      <c r="C692" s="66" t="s">
        <v>71</v>
      </c>
      <c r="D692" s="66" t="s">
        <v>587</v>
      </c>
      <c r="E692" s="66" t="s">
        <v>79</v>
      </c>
      <c r="F692" s="67">
        <f>350</f>
        <v>350</v>
      </c>
      <c r="G692" s="67">
        <v>349.875</v>
      </c>
      <c r="H692" s="67">
        <f>350-0.1</f>
        <v>349.9</v>
      </c>
      <c r="I692" s="67">
        <f t="shared" si="154"/>
        <v>99.971428571428561</v>
      </c>
    </row>
    <row r="693" spans="1:9" s="119" customFormat="1" ht="24">
      <c r="A693" s="58" t="s">
        <v>317</v>
      </c>
      <c r="B693" s="59" t="s">
        <v>428</v>
      </c>
      <c r="C693" s="59" t="s">
        <v>71</v>
      </c>
      <c r="D693" s="59" t="s">
        <v>588</v>
      </c>
      <c r="E693" s="59"/>
      <c r="F693" s="78">
        <f>F696+F694</f>
        <v>200</v>
      </c>
      <c r="G693" s="78">
        <f t="shared" ref="G693:H693" si="158">G696+G694</f>
        <v>100</v>
      </c>
      <c r="H693" s="78">
        <f t="shared" si="158"/>
        <v>100</v>
      </c>
      <c r="I693" s="78">
        <f t="shared" si="154"/>
        <v>50</v>
      </c>
    </row>
    <row r="694" spans="1:9" s="119" customFormat="1">
      <c r="A694" s="65" t="s">
        <v>486</v>
      </c>
      <c r="B694" s="66" t="s">
        <v>428</v>
      </c>
      <c r="C694" s="66" t="s">
        <v>71</v>
      </c>
      <c r="D694" s="66" t="s">
        <v>588</v>
      </c>
      <c r="E694" s="66" t="s">
        <v>77</v>
      </c>
      <c r="F694" s="78">
        <f>F695</f>
        <v>100</v>
      </c>
      <c r="G694" s="78">
        <f t="shared" ref="G694:H694" si="159">G695</f>
        <v>0</v>
      </c>
      <c r="H694" s="78">
        <f t="shared" si="159"/>
        <v>0</v>
      </c>
      <c r="I694" s="78">
        <f t="shared" si="154"/>
        <v>0</v>
      </c>
    </row>
    <row r="695" spans="1:9" s="119" customFormat="1">
      <c r="A695" s="65" t="s">
        <v>78</v>
      </c>
      <c r="B695" s="66" t="s">
        <v>428</v>
      </c>
      <c r="C695" s="66" t="s">
        <v>71</v>
      </c>
      <c r="D695" s="66" t="s">
        <v>588</v>
      </c>
      <c r="E695" s="66" t="s">
        <v>79</v>
      </c>
      <c r="F695" s="79">
        <v>100</v>
      </c>
      <c r="G695" s="78">
        <v>0</v>
      </c>
      <c r="H695" s="79">
        <v>0</v>
      </c>
      <c r="I695" s="79">
        <f t="shared" si="154"/>
        <v>0</v>
      </c>
    </row>
    <row r="696" spans="1:9" s="119" customFormat="1">
      <c r="A696" s="65" t="s">
        <v>88</v>
      </c>
      <c r="B696" s="66" t="s">
        <v>428</v>
      </c>
      <c r="C696" s="66" t="s">
        <v>71</v>
      </c>
      <c r="D696" s="66" t="s">
        <v>588</v>
      </c>
      <c r="E696" s="66" t="s">
        <v>87</v>
      </c>
      <c r="F696" s="79">
        <f>F697</f>
        <v>100</v>
      </c>
      <c r="G696" s="79">
        <f>G697</f>
        <v>100</v>
      </c>
      <c r="H696" s="79">
        <f>H697</f>
        <v>100</v>
      </c>
      <c r="I696" s="79">
        <f t="shared" si="154"/>
        <v>100</v>
      </c>
    </row>
    <row r="697" spans="1:9" s="119" customFormat="1">
      <c r="A697" s="65" t="s">
        <v>724</v>
      </c>
      <c r="B697" s="66" t="s">
        <v>428</v>
      </c>
      <c r="C697" s="66" t="s">
        <v>71</v>
      </c>
      <c r="D697" s="66" t="s">
        <v>588</v>
      </c>
      <c r="E697" s="66" t="s">
        <v>725</v>
      </c>
      <c r="F697" s="79">
        <v>100</v>
      </c>
      <c r="G697" s="79">
        <v>100</v>
      </c>
      <c r="H697" s="79">
        <v>100</v>
      </c>
      <c r="I697" s="79">
        <f t="shared" si="154"/>
        <v>100</v>
      </c>
    </row>
    <row r="698" spans="1:9" s="119" customFormat="1" ht="24">
      <c r="A698" s="58" t="s">
        <v>758</v>
      </c>
      <c r="B698" s="59" t="s">
        <v>428</v>
      </c>
      <c r="C698" s="59" t="s">
        <v>71</v>
      </c>
      <c r="D698" s="59" t="s">
        <v>759</v>
      </c>
      <c r="E698" s="59"/>
      <c r="F698" s="78">
        <f t="shared" ref="F698:H699" si="160">F699</f>
        <v>2300</v>
      </c>
      <c r="G698" s="78">
        <f t="shared" si="160"/>
        <v>2300</v>
      </c>
      <c r="H698" s="78">
        <f t="shared" si="160"/>
        <v>2300</v>
      </c>
      <c r="I698" s="78">
        <f t="shared" si="154"/>
        <v>100</v>
      </c>
    </row>
    <row r="699" spans="1:9" s="119" customFormat="1">
      <c r="A699" s="65" t="s">
        <v>486</v>
      </c>
      <c r="B699" s="66" t="s">
        <v>428</v>
      </c>
      <c r="C699" s="66" t="s">
        <v>71</v>
      </c>
      <c r="D699" s="66" t="s">
        <v>759</v>
      </c>
      <c r="E699" s="66" t="s">
        <v>77</v>
      </c>
      <c r="F699" s="79">
        <f t="shared" si="160"/>
        <v>2300</v>
      </c>
      <c r="G699" s="79">
        <f t="shared" si="160"/>
        <v>2300</v>
      </c>
      <c r="H699" s="79">
        <f t="shared" si="160"/>
        <v>2300</v>
      </c>
      <c r="I699" s="79">
        <f t="shared" si="154"/>
        <v>100</v>
      </c>
    </row>
    <row r="700" spans="1:9" s="119" customFormat="1">
      <c r="A700" s="65" t="s">
        <v>78</v>
      </c>
      <c r="B700" s="66" t="s">
        <v>428</v>
      </c>
      <c r="C700" s="66" t="s">
        <v>71</v>
      </c>
      <c r="D700" s="66" t="s">
        <v>759</v>
      </c>
      <c r="E700" s="66" t="s">
        <v>79</v>
      </c>
      <c r="F700" s="79">
        <f>2300</f>
        <v>2300</v>
      </c>
      <c r="G700" s="79">
        <v>2300</v>
      </c>
      <c r="H700" s="79">
        <f>2300</f>
        <v>2300</v>
      </c>
      <c r="I700" s="79">
        <f t="shared" si="154"/>
        <v>100</v>
      </c>
    </row>
    <row r="701" spans="1:9" s="119" customFormat="1" ht="24">
      <c r="A701" s="58" t="s">
        <v>589</v>
      </c>
      <c r="B701" s="59" t="s">
        <v>428</v>
      </c>
      <c r="C701" s="59" t="s">
        <v>71</v>
      </c>
      <c r="D701" s="59" t="s">
        <v>590</v>
      </c>
      <c r="E701" s="59"/>
      <c r="F701" s="60">
        <f t="shared" ref="F701:H702" si="161">F702</f>
        <v>300</v>
      </c>
      <c r="G701" s="314">
        <f t="shared" si="161"/>
        <v>0</v>
      </c>
      <c r="H701" s="60">
        <f t="shared" si="161"/>
        <v>100</v>
      </c>
      <c r="I701" s="60">
        <f t="shared" si="154"/>
        <v>33.333333333333329</v>
      </c>
    </row>
    <row r="702" spans="1:9" s="119" customFormat="1">
      <c r="A702" s="65" t="s">
        <v>486</v>
      </c>
      <c r="B702" s="66" t="s">
        <v>428</v>
      </c>
      <c r="C702" s="66" t="s">
        <v>71</v>
      </c>
      <c r="D702" s="66" t="s">
        <v>590</v>
      </c>
      <c r="E702" s="66" t="s">
        <v>77</v>
      </c>
      <c r="F702" s="67">
        <f t="shared" si="161"/>
        <v>300</v>
      </c>
      <c r="G702" s="279">
        <f t="shared" si="161"/>
        <v>0</v>
      </c>
      <c r="H702" s="67">
        <f t="shared" si="161"/>
        <v>100</v>
      </c>
      <c r="I702" s="67">
        <f t="shared" si="154"/>
        <v>33.333333333333329</v>
      </c>
    </row>
    <row r="703" spans="1:9" s="119" customFormat="1">
      <c r="A703" s="65" t="s">
        <v>78</v>
      </c>
      <c r="B703" s="66" t="s">
        <v>428</v>
      </c>
      <c r="C703" s="66" t="s">
        <v>71</v>
      </c>
      <c r="D703" s="66" t="s">
        <v>590</v>
      </c>
      <c r="E703" s="66" t="s">
        <v>79</v>
      </c>
      <c r="F703" s="67">
        <f>300</f>
        <v>300</v>
      </c>
      <c r="G703" s="279">
        <v>0</v>
      </c>
      <c r="H703" s="67">
        <f>300-200</f>
        <v>100</v>
      </c>
      <c r="I703" s="67">
        <f t="shared" si="154"/>
        <v>33.333333333333329</v>
      </c>
    </row>
    <row r="704" spans="1:9" s="119" customFormat="1">
      <c r="A704" s="58" t="s">
        <v>306</v>
      </c>
      <c r="B704" s="59" t="s">
        <v>428</v>
      </c>
      <c r="C704" s="59" t="s">
        <v>71</v>
      </c>
      <c r="D704" s="59" t="s">
        <v>591</v>
      </c>
      <c r="E704" s="59"/>
      <c r="F704" s="60">
        <f t="shared" ref="F704:H705" si="162">F705</f>
        <v>450</v>
      </c>
      <c r="G704" s="314">
        <f t="shared" si="162"/>
        <v>0</v>
      </c>
      <c r="H704" s="60">
        <f t="shared" si="162"/>
        <v>450</v>
      </c>
      <c r="I704" s="60">
        <f t="shared" si="154"/>
        <v>100</v>
      </c>
    </row>
    <row r="705" spans="1:9" s="119" customFormat="1">
      <c r="A705" s="65" t="s">
        <v>486</v>
      </c>
      <c r="B705" s="66" t="s">
        <v>428</v>
      </c>
      <c r="C705" s="66" t="s">
        <v>71</v>
      </c>
      <c r="D705" s="66" t="s">
        <v>591</v>
      </c>
      <c r="E705" s="66" t="s">
        <v>77</v>
      </c>
      <c r="F705" s="67">
        <f t="shared" si="162"/>
        <v>450</v>
      </c>
      <c r="G705" s="279">
        <f t="shared" si="162"/>
        <v>0</v>
      </c>
      <c r="H705" s="67">
        <f t="shared" si="162"/>
        <v>450</v>
      </c>
      <c r="I705" s="67">
        <f t="shared" si="154"/>
        <v>100</v>
      </c>
    </row>
    <row r="706" spans="1:9" s="119" customFormat="1">
      <c r="A706" s="65" t="s">
        <v>78</v>
      </c>
      <c r="B706" s="66" t="s">
        <v>428</v>
      </c>
      <c r="C706" s="66" t="s">
        <v>71</v>
      </c>
      <c r="D706" s="66" t="s">
        <v>591</v>
      </c>
      <c r="E706" s="66" t="s">
        <v>79</v>
      </c>
      <c r="F706" s="67">
        <v>450</v>
      </c>
      <c r="G706" s="279">
        <v>0</v>
      </c>
      <c r="H706" s="67">
        <v>450</v>
      </c>
      <c r="I706" s="67">
        <f t="shared" si="154"/>
        <v>100</v>
      </c>
    </row>
    <row r="707" spans="1:9" s="119" customFormat="1">
      <c r="A707" s="58" t="s">
        <v>792</v>
      </c>
      <c r="B707" s="59" t="s">
        <v>428</v>
      </c>
      <c r="C707" s="59" t="s">
        <v>71</v>
      </c>
      <c r="D707" s="59" t="s">
        <v>791</v>
      </c>
      <c r="E707" s="59"/>
      <c r="F707" s="60">
        <f>F708</f>
        <v>300</v>
      </c>
      <c r="G707" s="314">
        <f t="shared" ref="G707:H708" si="163">G708</f>
        <v>0</v>
      </c>
      <c r="H707" s="60">
        <f t="shared" si="163"/>
        <v>0</v>
      </c>
      <c r="I707" s="60">
        <f t="shared" si="154"/>
        <v>0</v>
      </c>
    </row>
    <row r="708" spans="1:9" s="119" customFormat="1">
      <c r="A708" s="65" t="s">
        <v>486</v>
      </c>
      <c r="B708" s="66" t="s">
        <v>428</v>
      </c>
      <c r="C708" s="66" t="s">
        <v>71</v>
      </c>
      <c r="D708" s="66" t="s">
        <v>791</v>
      </c>
      <c r="E708" s="66" t="s">
        <v>77</v>
      </c>
      <c r="F708" s="67">
        <f>F709</f>
        <v>300</v>
      </c>
      <c r="G708" s="279">
        <f t="shared" si="163"/>
        <v>0</v>
      </c>
      <c r="H708" s="67">
        <f t="shared" si="163"/>
        <v>0</v>
      </c>
      <c r="I708" s="67">
        <f t="shared" si="154"/>
        <v>0</v>
      </c>
    </row>
    <row r="709" spans="1:9" s="119" customFormat="1">
      <c r="A709" s="65" t="s">
        <v>78</v>
      </c>
      <c r="B709" s="66" t="s">
        <v>428</v>
      </c>
      <c r="C709" s="66" t="s">
        <v>71</v>
      </c>
      <c r="D709" s="66" t="s">
        <v>791</v>
      </c>
      <c r="E709" s="66" t="s">
        <v>79</v>
      </c>
      <c r="F709" s="67">
        <v>300</v>
      </c>
      <c r="G709" s="279">
        <v>0</v>
      </c>
      <c r="H709" s="67">
        <v>0</v>
      </c>
      <c r="I709" s="67">
        <f t="shared" si="154"/>
        <v>0</v>
      </c>
    </row>
    <row r="710" spans="1:9" s="119" customFormat="1" ht="13.5">
      <c r="A710" s="69" t="s">
        <v>239</v>
      </c>
      <c r="B710" s="61" t="s">
        <v>428</v>
      </c>
      <c r="C710" s="61" t="s">
        <v>71</v>
      </c>
      <c r="D710" s="61" t="s">
        <v>241</v>
      </c>
      <c r="E710" s="61"/>
      <c r="F710" s="62">
        <f t="shared" ref="F710:H711" si="164">F711</f>
        <v>4995</v>
      </c>
      <c r="G710" s="62">
        <f t="shared" si="164"/>
        <v>3769.2465000000002</v>
      </c>
      <c r="H710" s="62">
        <f t="shared" si="164"/>
        <v>4995</v>
      </c>
      <c r="I710" s="62">
        <f t="shared" si="154"/>
        <v>100</v>
      </c>
    </row>
    <row r="711" spans="1:9" s="119" customFormat="1">
      <c r="A711" s="58" t="s">
        <v>240</v>
      </c>
      <c r="B711" s="59" t="s">
        <v>428</v>
      </c>
      <c r="C711" s="59" t="s">
        <v>71</v>
      </c>
      <c r="D711" s="59" t="s">
        <v>241</v>
      </c>
      <c r="E711" s="59"/>
      <c r="F711" s="60">
        <f t="shared" si="164"/>
        <v>4995</v>
      </c>
      <c r="G711" s="60">
        <f t="shared" si="164"/>
        <v>3769.2465000000002</v>
      </c>
      <c r="H711" s="60">
        <f t="shared" si="164"/>
        <v>4995</v>
      </c>
      <c r="I711" s="60">
        <f t="shared" si="154"/>
        <v>100</v>
      </c>
    </row>
    <row r="712" spans="1:9" s="119" customFormat="1" ht="24">
      <c r="A712" s="70" t="s">
        <v>364</v>
      </c>
      <c r="B712" s="71" t="s">
        <v>428</v>
      </c>
      <c r="C712" s="71" t="s">
        <v>71</v>
      </c>
      <c r="D712" s="83" t="s">
        <v>241</v>
      </c>
      <c r="E712" s="71"/>
      <c r="F712" s="88">
        <f>F713+F716</f>
        <v>4995</v>
      </c>
      <c r="G712" s="88">
        <f>G713+G716</f>
        <v>3769.2465000000002</v>
      </c>
      <c r="H712" s="88">
        <f>H713+H716</f>
        <v>4995</v>
      </c>
      <c r="I712" s="88">
        <f t="shared" si="154"/>
        <v>100</v>
      </c>
    </row>
    <row r="713" spans="1:9" s="119" customFormat="1">
      <c r="A713" s="73" t="s">
        <v>347</v>
      </c>
      <c r="B713" s="59" t="s">
        <v>428</v>
      </c>
      <c r="C713" s="59" t="s">
        <v>71</v>
      </c>
      <c r="D713" s="59" t="s">
        <v>65</v>
      </c>
      <c r="E713" s="59"/>
      <c r="F713" s="60">
        <f t="shared" ref="F713:H714" si="165">F714</f>
        <v>4495</v>
      </c>
      <c r="G713" s="60">
        <f t="shared" si="165"/>
        <v>3297.7153800000001</v>
      </c>
      <c r="H713" s="60">
        <f t="shared" si="165"/>
        <v>4495</v>
      </c>
      <c r="I713" s="60">
        <f t="shared" si="154"/>
        <v>100</v>
      </c>
    </row>
    <row r="714" spans="1:9" s="119" customFormat="1" ht="24">
      <c r="A714" s="65" t="s">
        <v>72</v>
      </c>
      <c r="B714" s="66" t="s">
        <v>428</v>
      </c>
      <c r="C714" s="66" t="s">
        <v>71</v>
      </c>
      <c r="D714" s="66" t="s">
        <v>65</v>
      </c>
      <c r="E714" s="66" t="s">
        <v>73</v>
      </c>
      <c r="F714" s="67">
        <f t="shared" si="165"/>
        <v>4495</v>
      </c>
      <c r="G714" s="67">
        <f t="shared" si="165"/>
        <v>3297.7153800000001</v>
      </c>
      <c r="H714" s="67">
        <f t="shared" si="165"/>
        <v>4495</v>
      </c>
      <c r="I714" s="67">
        <f t="shared" si="154"/>
        <v>100</v>
      </c>
    </row>
    <row r="715" spans="1:9" s="119" customFormat="1">
      <c r="A715" s="65" t="s">
        <v>74</v>
      </c>
      <c r="B715" s="66" t="s">
        <v>428</v>
      </c>
      <c r="C715" s="66" t="s">
        <v>71</v>
      </c>
      <c r="D715" s="66" t="s">
        <v>65</v>
      </c>
      <c r="E715" s="66" t="s">
        <v>75</v>
      </c>
      <c r="F715" s="67">
        <f>2965+885+645</f>
        <v>4495</v>
      </c>
      <c r="G715" s="67">
        <v>3297.7153800000001</v>
      </c>
      <c r="H715" s="67">
        <f>2965+885+645</f>
        <v>4495</v>
      </c>
      <c r="I715" s="67">
        <f t="shared" si="154"/>
        <v>100</v>
      </c>
    </row>
    <row r="716" spans="1:9" s="119" customFormat="1">
      <c r="A716" s="58" t="s">
        <v>76</v>
      </c>
      <c r="B716" s="59" t="s">
        <v>428</v>
      </c>
      <c r="C716" s="59" t="s">
        <v>71</v>
      </c>
      <c r="D716" s="59" t="s">
        <v>66</v>
      </c>
      <c r="E716" s="59"/>
      <c r="F716" s="60">
        <f>F717+F719</f>
        <v>500</v>
      </c>
      <c r="G716" s="60">
        <f>G717+G719</f>
        <v>471.53111999999999</v>
      </c>
      <c r="H716" s="60">
        <f>H717+H719</f>
        <v>500</v>
      </c>
      <c r="I716" s="60">
        <f t="shared" si="154"/>
        <v>100</v>
      </c>
    </row>
    <row r="717" spans="1:9" s="119" customFormat="1">
      <c r="A717" s="65" t="s">
        <v>486</v>
      </c>
      <c r="B717" s="66" t="s">
        <v>428</v>
      </c>
      <c r="C717" s="66" t="s">
        <v>71</v>
      </c>
      <c r="D717" s="66" t="s">
        <v>66</v>
      </c>
      <c r="E717" s="66" t="s">
        <v>77</v>
      </c>
      <c r="F717" s="67">
        <f>F718</f>
        <v>495</v>
      </c>
      <c r="G717" s="67">
        <f>G718</f>
        <v>471.24829</v>
      </c>
      <c r="H717" s="67">
        <f>H718</f>
        <v>495</v>
      </c>
      <c r="I717" s="67">
        <f t="shared" si="154"/>
        <v>100</v>
      </c>
    </row>
    <row r="718" spans="1:9" s="119" customFormat="1">
      <c r="A718" s="65" t="s">
        <v>78</v>
      </c>
      <c r="B718" s="66" t="s">
        <v>428</v>
      </c>
      <c r="C718" s="66" t="s">
        <v>71</v>
      </c>
      <c r="D718" s="66" t="s">
        <v>66</v>
      </c>
      <c r="E718" s="66" t="s">
        <v>79</v>
      </c>
      <c r="F718" s="67">
        <f>205+250+40</f>
        <v>495</v>
      </c>
      <c r="G718" s="67">
        <v>471.24829</v>
      </c>
      <c r="H718" s="67">
        <f>205+250+40</f>
        <v>495</v>
      </c>
      <c r="I718" s="67">
        <f t="shared" si="154"/>
        <v>100</v>
      </c>
    </row>
    <row r="719" spans="1:9" s="119" customFormat="1">
      <c r="A719" s="65" t="s">
        <v>80</v>
      </c>
      <c r="B719" s="66" t="s">
        <v>428</v>
      </c>
      <c r="C719" s="66" t="s">
        <v>71</v>
      </c>
      <c r="D719" s="66" t="s">
        <v>66</v>
      </c>
      <c r="E719" s="66" t="s">
        <v>81</v>
      </c>
      <c r="F719" s="67">
        <f>F720</f>
        <v>5</v>
      </c>
      <c r="G719" s="67">
        <f>G720</f>
        <v>0.28283000000000003</v>
      </c>
      <c r="H719" s="67">
        <f>H720</f>
        <v>5</v>
      </c>
      <c r="I719" s="67">
        <f t="shared" si="154"/>
        <v>100</v>
      </c>
    </row>
    <row r="720" spans="1:9" s="119" customFormat="1">
      <c r="A720" s="65" t="s">
        <v>445</v>
      </c>
      <c r="B720" s="66" t="s">
        <v>428</v>
      </c>
      <c r="C720" s="66" t="s">
        <v>71</v>
      </c>
      <c r="D720" s="66" t="s">
        <v>66</v>
      </c>
      <c r="E720" s="66" t="s">
        <v>82</v>
      </c>
      <c r="F720" s="67">
        <f>45-40</f>
        <v>5</v>
      </c>
      <c r="G720" s="67">
        <v>0.28283000000000003</v>
      </c>
      <c r="H720" s="67">
        <f>45-40</f>
        <v>5</v>
      </c>
      <c r="I720" s="67">
        <f t="shared" si="154"/>
        <v>100</v>
      </c>
    </row>
    <row r="721" spans="1:9" s="119" customFormat="1" ht="27">
      <c r="A721" s="69" t="s">
        <v>674</v>
      </c>
      <c r="B721" s="61" t="s">
        <v>428</v>
      </c>
      <c r="C721" s="61" t="s">
        <v>71</v>
      </c>
      <c r="D721" s="61" t="s">
        <v>243</v>
      </c>
      <c r="E721" s="61"/>
      <c r="F721" s="105">
        <f>F722+F725+F728</f>
        <v>1924.9384500000001</v>
      </c>
      <c r="G721" s="105">
        <f>G722+G725+G728</f>
        <v>765.02</v>
      </c>
      <c r="H721" s="105">
        <f>H722+H725+H728</f>
        <v>1924.9384500000001</v>
      </c>
      <c r="I721" s="105">
        <f t="shared" si="154"/>
        <v>100</v>
      </c>
    </row>
    <row r="722" spans="1:9" s="119" customFormat="1">
      <c r="A722" s="85" t="s">
        <v>120</v>
      </c>
      <c r="B722" s="59" t="s">
        <v>428</v>
      </c>
      <c r="C722" s="59" t="s">
        <v>71</v>
      </c>
      <c r="D722" s="59" t="s">
        <v>612</v>
      </c>
      <c r="E722" s="59"/>
      <c r="F722" s="78">
        <f t="shared" ref="F722:H723" si="166">F723</f>
        <v>600</v>
      </c>
      <c r="G722" s="78">
        <f t="shared" si="166"/>
        <v>0</v>
      </c>
      <c r="H722" s="78">
        <f t="shared" si="166"/>
        <v>600</v>
      </c>
      <c r="I722" s="78">
        <f t="shared" si="154"/>
        <v>100</v>
      </c>
    </row>
    <row r="723" spans="1:9" s="119" customFormat="1">
      <c r="A723" s="65" t="s">
        <v>486</v>
      </c>
      <c r="B723" s="66" t="s">
        <v>428</v>
      </c>
      <c r="C723" s="66" t="s">
        <v>71</v>
      </c>
      <c r="D723" s="66" t="s">
        <v>612</v>
      </c>
      <c r="E723" s="66" t="s">
        <v>77</v>
      </c>
      <c r="F723" s="79">
        <f t="shared" si="166"/>
        <v>600</v>
      </c>
      <c r="G723" s="79">
        <f t="shared" si="166"/>
        <v>0</v>
      </c>
      <c r="H723" s="79">
        <f t="shared" si="166"/>
        <v>600</v>
      </c>
      <c r="I723" s="79">
        <f t="shared" si="154"/>
        <v>100</v>
      </c>
    </row>
    <row r="724" spans="1:9" s="119" customFormat="1">
      <c r="A724" s="65" t="s">
        <v>78</v>
      </c>
      <c r="B724" s="66" t="s">
        <v>428</v>
      </c>
      <c r="C724" s="66" t="s">
        <v>71</v>
      </c>
      <c r="D724" s="66" t="s">
        <v>612</v>
      </c>
      <c r="E724" s="66" t="s">
        <v>79</v>
      </c>
      <c r="F724" s="79">
        <v>600</v>
      </c>
      <c r="G724" s="79">
        <v>0</v>
      </c>
      <c r="H724" s="79">
        <v>600</v>
      </c>
      <c r="I724" s="79">
        <f t="shared" si="154"/>
        <v>100</v>
      </c>
    </row>
    <row r="725" spans="1:9" s="119" customFormat="1">
      <c r="A725" s="58" t="s">
        <v>733</v>
      </c>
      <c r="B725" s="59" t="s">
        <v>428</v>
      </c>
      <c r="C725" s="59" t="s">
        <v>71</v>
      </c>
      <c r="D725" s="59" t="s">
        <v>734</v>
      </c>
      <c r="E725" s="59"/>
      <c r="F725" s="78">
        <f t="shared" ref="F725:H726" si="167">F726</f>
        <v>559.91845000000012</v>
      </c>
      <c r="G725" s="78">
        <f t="shared" si="167"/>
        <v>0</v>
      </c>
      <c r="H725" s="78">
        <f t="shared" si="167"/>
        <v>559.91845000000012</v>
      </c>
      <c r="I725" s="78">
        <f t="shared" si="154"/>
        <v>100</v>
      </c>
    </row>
    <row r="726" spans="1:9" s="119" customFormat="1">
      <c r="A726" s="65" t="s">
        <v>486</v>
      </c>
      <c r="B726" s="66" t="s">
        <v>428</v>
      </c>
      <c r="C726" s="66" t="s">
        <v>71</v>
      </c>
      <c r="D726" s="66" t="s">
        <v>734</v>
      </c>
      <c r="E726" s="66" t="s">
        <v>77</v>
      </c>
      <c r="F726" s="79">
        <f t="shared" si="167"/>
        <v>559.91845000000012</v>
      </c>
      <c r="G726" s="79">
        <f t="shared" si="167"/>
        <v>0</v>
      </c>
      <c r="H726" s="79">
        <f t="shared" si="167"/>
        <v>559.91845000000012</v>
      </c>
      <c r="I726" s="79">
        <f t="shared" si="154"/>
        <v>100</v>
      </c>
    </row>
    <row r="727" spans="1:9" s="119" customFormat="1">
      <c r="A727" s="65" t="s">
        <v>78</v>
      </c>
      <c r="B727" s="66" t="s">
        <v>428</v>
      </c>
      <c r="C727" s="66" t="s">
        <v>71</v>
      </c>
      <c r="D727" s="66" t="s">
        <v>734</v>
      </c>
      <c r="E727" s="66" t="s">
        <v>79</v>
      </c>
      <c r="F727" s="79">
        <f>5000-600-3790.08155-50</f>
        <v>559.91845000000012</v>
      </c>
      <c r="G727" s="79">
        <v>0</v>
      </c>
      <c r="H727" s="79">
        <f>5000-600-3790.08155-50</f>
        <v>559.91845000000012</v>
      </c>
      <c r="I727" s="79">
        <f t="shared" si="154"/>
        <v>100</v>
      </c>
    </row>
    <row r="728" spans="1:9" s="23" customFormat="1">
      <c r="A728" s="133" t="s">
        <v>764</v>
      </c>
      <c r="B728" s="132" t="s">
        <v>428</v>
      </c>
      <c r="C728" s="132" t="s">
        <v>71</v>
      </c>
      <c r="D728" s="132" t="s">
        <v>765</v>
      </c>
      <c r="E728" s="132"/>
      <c r="F728" s="196">
        <f t="shared" ref="F728:H729" si="168">F729</f>
        <v>765.02</v>
      </c>
      <c r="G728" s="196">
        <f t="shared" si="168"/>
        <v>765.02</v>
      </c>
      <c r="H728" s="196">
        <f t="shared" si="168"/>
        <v>765.02</v>
      </c>
      <c r="I728" s="196">
        <f t="shared" si="154"/>
        <v>100</v>
      </c>
    </row>
    <row r="729" spans="1:9" s="23" customFormat="1">
      <c r="A729" s="131" t="s">
        <v>486</v>
      </c>
      <c r="B729" s="22" t="s">
        <v>428</v>
      </c>
      <c r="C729" s="22" t="s">
        <v>71</v>
      </c>
      <c r="D729" s="22" t="s">
        <v>765</v>
      </c>
      <c r="E729" s="22" t="s">
        <v>77</v>
      </c>
      <c r="F729" s="176">
        <f t="shared" si="168"/>
        <v>765.02</v>
      </c>
      <c r="G729" s="176">
        <f t="shared" si="168"/>
        <v>765.02</v>
      </c>
      <c r="H729" s="176">
        <f t="shared" si="168"/>
        <v>765.02</v>
      </c>
      <c r="I729" s="176">
        <f t="shared" si="154"/>
        <v>100</v>
      </c>
    </row>
    <row r="730" spans="1:9" s="23" customFormat="1">
      <c r="A730" s="131" t="s">
        <v>78</v>
      </c>
      <c r="B730" s="22" t="s">
        <v>428</v>
      </c>
      <c r="C730" s="22" t="s">
        <v>71</v>
      </c>
      <c r="D730" s="22" t="s">
        <v>765</v>
      </c>
      <c r="E730" s="22" t="s">
        <v>79</v>
      </c>
      <c r="F730" s="176">
        <v>765.02</v>
      </c>
      <c r="G730" s="176">
        <v>765.02</v>
      </c>
      <c r="H730" s="176">
        <v>765.02</v>
      </c>
      <c r="I730" s="176">
        <f t="shared" si="154"/>
        <v>100</v>
      </c>
    </row>
    <row r="731" spans="1:9" s="23" customFormat="1">
      <c r="A731" s="173" t="s">
        <v>67</v>
      </c>
      <c r="B731" s="140" t="s">
        <v>428</v>
      </c>
      <c r="C731" s="140" t="s">
        <v>71</v>
      </c>
      <c r="D731" s="140" t="s">
        <v>187</v>
      </c>
      <c r="E731" s="22"/>
      <c r="F731" s="175">
        <f t="shared" ref="F731:H734" si="169">F732</f>
        <v>144.45400000000001</v>
      </c>
      <c r="G731" s="175">
        <f t="shared" si="169"/>
        <v>120.0455</v>
      </c>
      <c r="H731" s="175">
        <f t="shared" si="169"/>
        <v>144.45400000000001</v>
      </c>
      <c r="I731" s="175">
        <f t="shared" si="154"/>
        <v>100</v>
      </c>
    </row>
    <row r="732" spans="1:9" s="23" customFormat="1">
      <c r="A732" s="212" t="s">
        <v>272</v>
      </c>
      <c r="B732" s="132" t="s">
        <v>428</v>
      </c>
      <c r="C732" s="132" t="s">
        <v>71</v>
      </c>
      <c r="D732" s="132" t="s">
        <v>188</v>
      </c>
      <c r="E732" s="22"/>
      <c r="F732" s="158">
        <f t="shared" si="169"/>
        <v>144.45400000000001</v>
      </c>
      <c r="G732" s="158">
        <f t="shared" si="169"/>
        <v>120.0455</v>
      </c>
      <c r="H732" s="158">
        <f t="shared" si="169"/>
        <v>144.45400000000001</v>
      </c>
      <c r="I732" s="158">
        <f t="shared" si="154"/>
        <v>100</v>
      </c>
    </row>
    <row r="733" spans="1:9" s="23" customFormat="1">
      <c r="A733" s="133" t="s">
        <v>774</v>
      </c>
      <c r="B733" s="132" t="s">
        <v>428</v>
      </c>
      <c r="C733" s="132" t="s">
        <v>71</v>
      </c>
      <c r="D733" s="132" t="s">
        <v>769</v>
      </c>
      <c r="E733" s="132"/>
      <c r="F733" s="158">
        <f t="shared" si="169"/>
        <v>144.45400000000001</v>
      </c>
      <c r="G733" s="158">
        <f t="shared" si="169"/>
        <v>120.0455</v>
      </c>
      <c r="H733" s="158">
        <f t="shared" si="169"/>
        <v>144.45400000000001</v>
      </c>
      <c r="I733" s="158">
        <f t="shared" si="154"/>
        <v>100</v>
      </c>
    </row>
    <row r="734" spans="1:9" s="23" customFormat="1" ht="24">
      <c r="A734" s="131" t="s">
        <v>72</v>
      </c>
      <c r="B734" s="22" t="s">
        <v>428</v>
      </c>
      <c r="C734" s="22" t="s">
        <v>71</v>
      </c>
      <c r="D734" s="22" t="s">
        <v>769</v>
      </c>
      <c r="E734" s="22" t="s">
        <v>73</v>
      </c>
      <c r="F734" s="156">
        <f t="shared" si="169"/>
        <v>144.45400000000001</v>
      </c>
      <c r="G734" s="156">
        <f t="shared" si="169"/>
        <v>120.0455</v>
      </c>
      <c r="H734" s="156">
        <f t="shared" si="169"/>
        <v>144.45400000000001</v>
      </c>
      <c r="I734" s="156">
        <f t="shared" si="154"/>
        <v>100</v>
      </c>
    </row>
    <row r="735" spans="1:9" s="23" customFormat="1">
      <c r="A735" s="131" t="s">
        <v>74</v>
      </c>
      <c r="B735" s="22" t="s">
        <v>428</v>
      </c>
      <c r="C735" s="22" t="s">
        <v>71</v>
      </c>
      <c r="D735" s="22" t="s">
        <v>769</v>
      </c>
      <c r="E735" s="22" t="s">
        <v>75</v>
      </c>
      <c r="F735" s="156">
        <v>144.45400000000001</v>
      </c>
      <c r="G735" s="156">
        <v>120.0455</v>
      </c>
      <c r="H735" s="156">
        <v>144.45400000000001</v>
      </c>
      <c r="I735" s="156">
        <f t="shared" si="154"/>
        <v>100</v>
      </c>
    </row>
    <row r="736" spans="1:9" s="119" customFormat="1">
      <c r="A736" s="58" t="s">
        <v>360</v>
      </c>
      <c r="B736" s="59" t="s">
        <v>446</v>
      </c>
      <c r="C736" s="59" t="s">
        <v>70</v>
      </c>
      <c r="D736" s="59"/>
      <c r="E736" s="59"/>
      <c r="F736" s="60">
        <f>F737+F743+F771</f>
        <v>88518.483290000004</v>
      </c>
      <c r="G736" s="60">
        <f>G737+G743+G771</f>
        <v>56107.456720000002</v>
      </c>
      <c r="H736" s="60">
        <f>H737+H743+H771</f>
        <v>88518.483290000004</v>
      </c>
      <c r="I736" s="60">
        <f t="shared" si="154"/>
        <v>100</v>
      </c>
    </row>
    <row r="737" spans="1:9" s="119" customFormat="1">
      <c r="A737" s="58" t="s">
        <v>344</v>
      </c>
      <c r="B737" s="59" t="s">
        <v>446</v>
      </c>
      <c r="C737" s="59" t="s">
        <v>69</v>
      </c>
      <c r="D737" s="59" t="s">
        <v>187</v>
      </c>
      <c r="E737" s="59"/>
      <c r="F737" s="60">
        <f>F738</f>
        <v>22372.899290000001</v>
      </c>
      <c r="G737" s="60">
        <f>G738</f>
        <v>18170.515579999999</v>
      </c>
      <c r="H737" s="60">
        <f>H738</f>
        <v>22372.899290000001</v>
      </c>
      <c r="I737" s="60">
        <f t="shared" si="154"/>
        <v>100</v>
      </c>
    </row>
    <row r="738" spans="1:9" s="119" customFormat="1">
      <c r="A738" s="70" t="s">
        <v>396</v>
      </c>
      <c r="B738" s="71" t="s">
        <v>446</v>
      </c>
      <c r="C738" s="71" t="s">
        <v>69</v>
      </c>
      <c r="D738" s="71" t="s">
        <v>187</v>
      </c>
      <c r="E738" s="59"/>
      <c r="F738" s="72">
        <f t="shared" ref="F738:H741" si="170">F739</f>
        <v>22372.899290000001</v>
      </c>
      <c r="G738" s="72">
        <f t="shared" si="170"/>
        <v>18170.515579999999</v>
      </c>
      <c r="H738" s="72">
        <f t="shared" si="170"/>
        <v>22372.899290000001</v>
      </c>
      <c r="I738" s="72">
        <f t="shared" si="154"/>
        <v>100</v>
      </c>
    </row>
    <row r="739" spans="1:9" s="119" customFormat="1">
      <c r="A739" s="58" t="s">
        <v>272</v>
      </c>
      <c r="B739" s="59" t="s">
        <v>446</v>
      </c>
      <c r="C739" s="59" t="s">
        <v>69</v>
      </c>
      <c r="D739" s="59" t="s">
        <v>188</v>
      </c>
      <c r="E739" s="59"/>
      <c r="F739" s="60">
        <f t="shared" si="170"/>
        <v>22372.899290000001</v>
      </c>
      <c r="G739" s="60">
        <f t="shared" si="170"/>
        <v>18170.515579999999</v>
      </c>
      <c r="H739" s="60">
        <f t="shared" si="170"/>
        <v>22372.899290000001</v>
      </c>
      <c r="I739" s="60">
        <f t="shared" si="154"/>
        <v>100</v>
      </c>
    </row>
    <row r="740" spans="1:9" s="119" customFormat="1" ht="24">
      <c r="A740" s="58" t="s">
        <v>355</v>
      </c>
      <c r="B740" s="59" t="s">
        <v>446</v>
      </c>
      <c r="C740" s="59" t="s">
        <v>69</v>
      </c>
      <c r="D740" s="59" t="s">
        <v>519</v>
      </c>
      <c r="E740" s="59"/>
      <c r="F740" s="60">
        <f t="shared" si="170"/>
        <v>22372.899290000001</v>
      </c>
      <c r="G740" s="60">
        <f t="shared" si="170"/>
        <v>18170.515579999999</v>
      </c>
      <c r="H740" s="60">
        <f t="shared" si="170"/>
        <v>22372.899290000001</v>
      </c>
      <c r="I740" s="60">
        <f t="shared" si="154"/>
        <v>100</v>
      </c>
    </row>
    <row r="741" spans="1:9" s="119" customFormat="1">
      <c r="A741" s="65" t="s">
        <v>88</v>
      </c>
      <c r="B741" s="66" t="s">
        <v>446</v>
      </c>
      <c r="C741" s="66" t="s">
        <v>69</v>
      </c>
      <c r="D741" s="66" t="s">
        <v>519</v>
      </c>
      <c r="E741" s="66" t="s">
        <v>87</v>
      </c>
      <c r="F741" s="67">
        <f t="shared" si="170"/>
        <v>22372.899290000001</v>
      </c>
      <c r="G741" s="67">
        <f t="shared" si="170"/>
        <v>18170.515579999999</v>
      </c>
      <c r="H741" s="67">
        <f t="shared" si="170"/>
        <v>22372.899290000001</v>
      </c>
      <c r="I741" s="67">
        <f t="shared" si="154"/>
        <v>100</v>
      </c>
    </row>
    <row r="742" spans="1:9" s="119" customFormat="1">
      <c r="A742" s="65" t="s">
        <v>138</v>
      </c>
      <c r="B742" s="66" t="s">
        <v>446</v>
      </c>
      <c r="C742" s="66" t="s">
        <v>69</v>
      </c>
      <c r="D742" s="66" t="s">
        <v>519</v>
      </c>
      <c r="E742" s="66" t="s">
        <v>449</v>
      </c>
      <c r="F742" s="67">
        <f>19400+2972.89929</f>
        <v>22372.899290000001</v>
      </c>
      <c r="G742" s="67">
        <v>18170.515579999999</v>
      </c>
      <c r="H742" s="67">
        <f>19400+2972.89929</f>
        <v>22372.899290000001</v>
      </c>
      <c r="I742" s="67">
        <f t="shared" ref="I742:I800" si="171">H742/F742*100</f>
        <v>100</v>
      </c>
    </row>
    <row r="743" spans="1:9" s="119" customFormat="1">
      <c r="A743" s="58" t="s">
        <v>349</v>
      </c>
      <c r="B743" s="59" t="s">
        <v>446</v>
      </c>
      <c r="C743" s="59" t="s">
        <v>423</v>
      </c>
      <c r="D743" s="59"/>
      <c r="E743" s="71"/>
      <c r="F743" s="78">
        <f>F744+F748+F757</f>
        <v>47044.284</v>
      </c>
      <c r="G743" s="78">
        <f>G744+G748+G757</f>
        <v>23900.313999999998</v>
      </c>
      <c r="H743" s="78">
        <f>H744+H748+H757</f>
        <v>47044.284</v>
      </c>
      <c r="I743" s="78">
        <f t="shared" si="171"/>
        <v>100</v>
      </c>
    </row>
    <row r="744" spans="1:9" s="119" customFormat="1" ht="27">
      <c r="A744" s="69" t="s">
        <v>562</v>
      </c>
      <c r="B744" s="61" t="s">
        <v>446</v>
      </c>
      <c r="C744" s="61" t="s">
        <v>423</v>
      </c>
      <c r="D744" s="93" t="s">
        <v>226</v>
      </c>
      <c r="E744" s="61"/>
      <c r="F744" s="62">
        <f t="shared" ref="F744:H746" si="172">F745</f>
        <v>1500</v>
      </c>
      <c r="G744" s="62">
        <f t="shared" si="172"/>
        <v>770</v>
      </c>
      <c r="H744" s="62">
        <f t="shared" si="172"/>
        <v>1500</v>
      </c>
      <c r="I744" s="62">
        <f t="shared" si="171"/>
        <v>100</v>
      </c>
    </row>
    <row r="745" spans="1:9" s="119" customFormat="1" ht="24">
      <c r="A745" s="85" t="s">
        <v>46</v>
      </c>
      <c r="B745" s="59" t="s">
        <v>446</v>
      </c>
      <c r="C745" s="59" t="s">
        <v>423</v>
      </c>
      <c r="D745" s="86" t="s">
        <v>563</v>
      </c>
      <c r="E745" s="59"/>
      <c r="F745" s="60">
        <f t="shared" si="172"/>
        <v>1500</v>
      </c>
      <c r="G745" s="60">
        <f t="shared" si="172"/>
        <v>770</v>
      </c>
      <c r="H745" s="60">
        <f t="shared" si="172"/>
        <v>1500</v>
      </c>
      <c r="I745" s="60">
        <f t="shared" si="171"/>
        <v>100</v>
      </c>
    </row>
    <row r="746" spans="1:9" s="119" customFormat="1">
      <c r="A746" s="65" t="s">
        <v>88</v>
      </c>
      <c r="B746" s="66" t="s">
        <v>446</v>
      </c>
      <c r="C746" s="66" t="s">
        <v>423</v>
      </c>
      <c r="D746" s="76" t="s">
        <v>563</v>
      </c>
      <c r="E746" s="66" t="s">
        <v>87</v>
      </c>
      <c r="F746" s="67">
        <f t="shared" si="172"/>
        <v>1500</v>
      </c>
      <c r="G746" s="67">
        <f t="shared" si="172"/>
        <v>770</v>
      </c>
      <c r="H746" s="67">
        <f t="shared" si="172"/>
        <v>1500</v>
      </c>
      <c r="I746" s="67">
        <f t="shared" si="171"/>
        <v>100</v>
      </c>
    </row>
    <row r="747" spans="1:9" s="119" customFormat="1">
      <c r="A747" s="65" t="s">
        <v>138</v>
      </c>
      <c r="B747" s="66" t="s">
        <v>446</v>
      </c>
      <c r="C747" s="66" t="s">
        <v>423</v>
      </c>
      <c r="D747" s="76" t="s">
        <v>563</v>
      </c>
      <c r="E747" s="66" t="s">
        <v>449</v>
      </c>
      <c r="F747" s="67">
        <v>1500</v>
      </c>
      <c r="G747" s="67">
        <v>770</v>
      </c>
      <c r="H747" s="67">
        <v>1500</v>
      </c>
      <c r="I747" s="67">
        <f t="shared" si="171"/>
        <v>100</v>
      </c>
    </row>
    <row r="748" spans="1:9" s="119" customFormat="1" ht="13.5">
      <c r="A748" s="69" t="s">
        <v>673</v>
      </c>
      <c r="B748" s="61" t="s">
        <v>446</v>
      </c>
      <c r="C748" s="61" t="s">
        <v>423</v>
      </c>
      <c r="D748" s="61" t="s">
        <v>139</v>
      </c>
      <c r="E748" s="61"/>
      <c r="F748" s="62">
        <f t="shared" ref="F748:H748" si="173">F749</f>
        <v>12962.192000000001</v>
      </c>
      <c r="G748" s="62">
        <f t="shared" si="173"/>
        <v>10964.583999999999</v>
      </c>
      <c r="H748" s="62">
        <f t="shared" si="173"/>
        <v>12962.192000000001</v>
      </c>
      <c r="I748" s="62">
        <f t="shared" si="171"/>
        <v>100</v>
      </c>
    </row>
    <row r="749" spans="1:9" s="119" customFormat="1">
      <c r="A749" s="58" t="s">
        <v>259</v>
      </c>
      <c r="B749" s="59" t="s">
        <v>446</v>
      </c>
      <c r="C749" s="59" t="s">
        <v>423</v>
      </c>
      <c r="D749" s="59" t="s">
        <v>148</v>
      </c>
      <c r="E749" s="59"/>
      <c r="F749" s="60">
        <f>F750+F754</f>
        <v>12962.192000000001</v>
      </c>
      <c r="G749" s="60">
        <f>G750+G754</f>
        <v>10964.583999999999</v>
      </c>
      <c r="H749" s="60">
        <f>H750+H754</f>
        <v>12962.192000000001</v>
      </c>
      <c r="I749" s="60">
        <f t="shared" si="171"/>
        <v>100</v>
      </c>
    </row>
    <row r="750" spans="1:9" s="119" customFormat="1" ht="36">
      <c r="A750" s="70" t="s">
        <v>126</v>
      </c>
      <c r="B750" s="71" t="s">
        <v>446</v>
      </c>
      <c r="C750" s="71" t="s">
        <v>423</v>
      </c>
      <c r="D750" s="71" t="s">
        <v>261</v>
      </c>
      <c r="E750" s="71"/>
      <c r="F750" s="80">
        <f t="shared" ref="F750:H750" si="174">F751</f>
        <v>12322.192000000001</v>
      </c>
      <c r="G750" s="80">
        <f t="shared" si="174"/>
        <v>10324.583999999999</v>
      </c>
      <c r="H750" s="80">
        <f t="shared" si="174"/>
        <v>12322.192000000001</v>
      </c>
      <c r="I750" s="80">
        <f t="shared" si="171"/>
        <v>100</v>
      </c>
    </row>
    <row r="751" spans="1:9" s="119" customFormat="1">
      <c r="A751" s="65" t="s">
        <v>94</v>
      </c>
      <c r="B751" s="66" t="s">
        <v>446</v>
      </c>
      <c r="C751" s="66" t="s">
        <v>423</v>
      </c>
      <c r="D751" s="66" t="s">
        <v>261</v>
      </c>
      <c r="E751" s="66" t="s">
        <v>362</v>
      </c>
      <c r="F751" s="79">
        <f>F752+F753</f>
        <v>12322.192000000001</v>
      </c>
      <c r="G751" s="79">
        <f>G752+G753</f>
        <v>10324.583999999999</v>
      </c>
      <c r="H751" s="79">
        <f>H752+H753</f>
        <v>12322.192000000001</v>
      </c>
      <c r="I751" s="79">
        <f t="shared" si="171"/>
        <v>100</v>
      </c>
    </row>
    <row r="752" spans="1:9" s="119" customFormat="1">
      <c r="A752" s="65" t="s">
        <v>95</v>
      </c>
      <c r="B752" s="66" t="s">
        <v>446</v>
      </c>
      <c r="C752" s="66" t="s">
        <v>423</v>
      </c>
      <c r="D752" s="66" t="s">
        <v>261</v>
      </c>
      <c r="E752" s="66" t="s">
        <v>371</v>
      </c>
      <c r="F752" s="79">
        <f>5139.7-0.044+6625.256</f>
        <v>11764.912</v>
      </c>
      <c r="G752" s="79">
        <v>9858.0239999999994</v>
      </c>
      <c r="H752" s="79">
        <f>5139.7-0.044+6625.256</f>
        <v>11764.912</v>
      </c>
      <c r="I752" s="79">
        <f t="shared" si="171"/>
        <v>100</v>
      </c>
    </row>
    <row r="753" spans="1:9" s="119" customFormat="1">
      <c r="A753" s="65" t="s">
        <v>447</v>
      </c>
      <c r="B753" s="66" t="s">
        <v>446</v>
      </c>
      <c r="C753" s="66" t="s">
        <v>423</v>
      </c>
      <c r="D753" s="66" t="s">
        <v>261</v>
      </c>
      <c r="E753" s="66" t="s">
        <v>448</v>
      </c>
      <c r="F753" s="79">
        <v>557.28</v>
      </c>
      <c r="G753" s="79">
        <v>466.56</v>
      </c>
      <c r="H753" s="79">
        <v>557.28</v>
      </c>
      <c r="I753" s="79">
        <f t="shared" si="171"/>
        <v>100</v>
      </c>
    </row>
    <row r="754" spans="1:9" s="119" customFormat="1" ht="24">
      <c r="A754" s="74" t="s">
        <v>154</v>
      </c>
      <c r="B754" s="71" t="s">
        <v>446</v>
      </c>
      <c r="C754" s="71" t="s">
        <v>423</v>
      </c>
      <c r="D754" s="71" t="s">
        <v>668</v>
      </c>
      <c r="E754" s="71"/>
      <c r="F754" s="72">
        <f t="shared" ref="F754:H755" si="175">F755</f>
        <v>640</v>
      </c>
      <c r="G754" s="72">
        <f t="shared" si="175"/>
        <v>640</v>
      </c>
      <c r="H754" s="72">
        <f t="shared" si="175"/>
        <v>640</v>
      </c>
      <c r="I754" s="72">
        <f t="shared" si="171"/>
        <v>100</v>
      </c>
    </row>
    <row r="755" spans="1:9" s="119" customFormat="1">
      <c r="A755" s="65" t="s">
        <v>88</v>
      </c>
      <c r="B755" s="66" t="s">
        <v>446</v>
      </c>
      <c r="C755" s="66" t="s">
        <v>423</v>
      </c>
      <c r="D755" s="66" t="s">
        <v>668</v>
      </c>
      <c r="E755" s="66" t="s">
        <v>87</v>
      </c>
      <c r="F755" s="67">
        <f t="shared" si="175"/>
        <v>640</v>
      </c>
      <c r="G755" s="67">
        <f t="shared" si="175"/>
        <v>640</v>
      </c>
      <c r="H755" s="67">
        <f t="shared" si="175"/>
        <v>640</v>
      </c>
      <c r="I755" s="67">
        <f t="shared" si="171"/>
        <v>100</v>
      </c>
    </row>
    <row r="756" spans="1:9" s="119" customFormat="1">
      <c r="A756" s="65" t="s">
        <v>89</v>
      </c>
      <c r="B756" s="66" t="s">
        <v>446</v>
      </c>
      <c r="C756" s="66" t="s">
        <v>423</v>
      </c>
      <c r="D756" s="66" t="s">
        <v>668</v>
      </c>
      <c r="E756" s="66" t="s">
        <v>90</v>
      </c>
      <c r="F756" s="67">
        <v>640</v>
      </c>
      <c r="G756" s="67">
        <v>640</v>
      </c>
      <c r="H756" s="67">
        <v>640</v>
      </c>
      <c r="I756" s="67">
        <f t="shared" si="171"/>
        <v>100</v>
      </c>
    </row>
    <row r="757" spans="1:9" s="119" customFormat="1">
      <c r="A757" s="70" t="s">
        <v>396</v>
      </c>
      <c r="B757" s="71" t="s">
        <v>446</v>
      </c>
      <c r="C757" s="71" t="s">
        <v>423</v>
      </c>
      <c r="D757" s="71" t="s">
        <v>187</v>
      </c>
      <c r="E757" s="59"/>
      <c r="F757" s="72">
        <f>F758</f>
        <v>32582.092000000001</v>
      </c>
      <c r="G757" s="72">
        <f>G758</f>
        <v>12165.73</v>
      </c>
      <c r="H757" s="72">
        <f>H758</f>
        <v>32582.092000000001</v>
      </c>
      <c r="I757" s="72">
        <f t="shared" si="171"/>
        <v>100</v>
      </c>
    </row>
    <row r="758" spans="1:9" s="119" customFormat="1">
      <c r="A758" s="58" t="s">
        <v>272</v>
      </c>
      <c r="B758" s="59" t="s">
        <v>446</v>
      </c>
      <c r="C758" s="59" t="s">
        <v>423</v>
      </c>
      <c r="D758" s="59" t="s">
        <v>188</v>
      </c>
      <c r="E758" s="59"/>
      <c r="F758" s="60">
        <f>F759+F762+F765+F768</f>
        <v>32582.092000000001</v>
      </c>
      <c r="G758" s="60">
        <f>G759+G762+G765+G768</f>
        <v>12165.73</v>
      </c>
      <c r="H758" s="60">
        <f>H759+H762+H765+H768</f>
        <v>32582.092000000001</v>
      </c>
      <c r="I758" s="60">
        <f t="shared" si="171"/>
        <v>100</v>
      </c>
    </row>
    <row r="759" spans="1:9" s="119" customFormat="1">
      <c r="A759" s="58" t="s">
        <v>736</v>
      </c>
      <c r="B759" s="59" t="s">
        <v>446</v>
      </c>
      <c r="C759" s="59" t="s">
        <v>423</v>
      </c>
      <c r="D759" s="100" t="s">
        <v>731</v>
      </c>
      <c r="E759" s="59"/>
      <c r="F759" s="60">
        <f t="shared" ref="F759:H760" si="176">F760</f>
        <v>9402.0920000000006</v>
      </c>
      <c r="G759" s="60">
        <f t="shared" si="176"/>
        <v>9402.0920000000006</v>
      </c>
      <c r="H759" s="60">
        <f t="shared" si="176"/>
        <v>9402.0920000000006</v>
      </c>
      <c r="I759" s="60">
        <f t="shared" si="171"/>
        <v>100</v>
      </c>
    </row>
    <row r="760" spans="1:9" s="119" customFormat="1">
      <c r="A760" s="65" t="s">
        <v>88</v>
      </c>
      <c r="B760" s="66" t="s">
        <v>446</v>
      </c>
      <c r="C760" s="66" t="s">
        <v>423</v>
      </c>
      <c r="D760" s="101" t="s">
        <v>731</v>
      </c>
      <c r="E760" s="66" t="s">
        <v>87</v>
      </c>
      <c r="F760" s="67">
        <f t="shared" si="176"/>
        <v>9402.0920000000006</v>
      </c>
      <c r="G760" s="67">
        <f t="shared" si="176"/>
        <v>9402.0920000000006</v>
      </c>
      <c r="H760" s="67">
        <f t="shared" si="176"/>
        <v>9402.0920000000006</v>
      </c>
      <c r="I760" s="67">
        <f t="shared" si="171"/>
        <v>100</v>
      </c>
    </row>
    <row r="761" spans="1:9" s="119" customFormat="1">
      <c r="A761" s="65" t="s">
        <v>89</v>
      </c>
      <c r="B761" s="66" t="s">
        <v>446</v>
      </c>
      <c r="C761" s="66" t="s">
        <v>423</v>
      </c>
      <c r="D761" s="101" t="s">
        <v>731</v>
      </c>
      <c r="E761" s="66" t="s">
        <v>90</v>
      </c>
      <c r="F761" s="67">
        <f>9622.17-220.078</f>
        <v>9402.0920000000006</v>
      </c>
      <c r="G761" s="67">
        <v>9402.0920000000006</v>
      </c>
      <c r="H761" s="67">
        <f>9622.17-220.078</f>
        <v>9402.0920000000006</v>
      </c>
      <c r="I761" s="67">
        <f t="shared" si="171"/>
        <v>100</v>
      </c>
    </row>
    <row r="762" spans="1:9" s="119" customFormat="1">
      <c r="A762" s="58" t="s">
        <v>737</v>
      </c>
      <c r="B762" s="59" t="s">
        <v>446</v>
      </c>
      <c r="C762" s="59" t="s">
        <v>423</v>
      </c>
      <c r="D762" s="100" t="s">
        <v>436</v>
      </c>
      <c r="E762" s="59"/>
      <c r="F762" s="78">
        <f t="shared" ref="F762:H763" si="177">F763</f>
        <v>3150</v>
      </c>
      <c r="G762" s="78">
        <f t="shared" si="177"/>
        <v>2733.6379999999999</v>
      </c>
      <c r="H762" s="78">
        <f t="shared" si="177"/>
        <v>3150</v>
      </c>
      <c r="I762" s="78">
        <f t="shared" si="171"/>
        <v>100</v>
      </c>
    </row>
    <row r="763" spans="1:9" s="119" customFormat="1">
      <c r="A763" s="65" t="s">
        <v>88</v>
      </c>
      <c r="B763" s="66" t="s">
        <v>446</v>
      </c>
      <c r="C763" s="66" t="s">
        <v>423</v>
      </c>
      <c r="D763" s="101" t="s">
        <v>436</v>
      </c>
      <c r="E763" s="66" t="s">
        <v>87</v>
      </c>
      <c r="F763" s="79">
        <f t="shared" si="177"/>
        <v>3150</v>
      </c>
      <c r="G763" s="79">
        <f t="shared" si="177"/>
        <v>2733.6379999999999</v>
      </c>
      <c r="H763" s="79">
        <f t="shared" si="177"/>
        <v>3150</v>
      </c>
      <c r="I763" s="79">
        <f t="shared" si="171"/>
        <v>100</v>
      </c>
    </row>
    <row r="764" spans="1:9" s="119" customFormat="1">
      <c r="A764" s="65" t="s">
        <v>89</v>
      </c>
      <c r="B764" s="66" t="s">
        <v>446</v>
      </c>
      <c r="C764" s="66" t="s">
        <v>423</v>
      </c>
      <c r="D764" s="101" t="s">
        <v>436</v>
      </c>
      <c r="E764" s="66" t="s">
        <v>90</v>
      </c>
      <c r="F764" s="79">
        <v>3150</v>
      </c>
      <c r="G764" s="79">
        <v>2733.6379999999999</v>
      </c>
      <c r="H764" s="79">
        <v>3150</v>
      </c>
      <c r="I764" s="79">
        <f t="shared" si="171"/>
        <v>100</v>
      </c>
    </row>
    <row r="765" spans="1:9" s="119" customFormat="1" ht="24">
      <c r="A765" s="58" t="s">
        <v>476</v>
      </c>
      <c r="B765" s="59" t="s">
        <v>446</v>
      </c>
      <c r="C765" s="59" t="s">
        <v>423</v>
      </c>
      <c r="D765" s="59" t="s">
        <v>564</v>
      </c>
      <c r="E765" s="59"/>
      <c r="F765" s="60">
        <f t="shared" ref="F765:H766" si="178">F766</f>
        <v>20000</v>
      </c>
      <c r="G765" s="314">
        <f t="shared" si="178"/>
        <v>0</v>
      </c>
      <c r="H765" s="60">
        <f t="shared" si="178"/>
        <v>20000</v>
      </c>
      <c r="I765" s="60">
        <f t="shared" si="171"/>
        <v>100</v>
      </c>
    </row>
    <row r="766" spans="1:9" s="119" customFormat="1">
      <c r="A766" s="65" t="s">
        <v>88</v>
      </c>
      <c r="B766" s="66" t="s">
        <v>446</v>
      </c>
      <c r="C766" s="66" t="s">
        <v>423</v>
      </c>
      <c r="D766" s="66" t="s">
        <v>564</v>
      </c>
      <c r="E766" s="66" t="s">
        <v>87</v>
      </c>
      <c r="F766" s="67">
        <f t="shared" si="178"/>
        <v>20000</v>
      </c>
      <c r="G766" s="279">
        <f t="shared" si="178"/>
        <v>0</v>
      </c>
      <c r="H766" s="67">
        <f t="shared" si="178"/>
        <v>20000</v>
      </c>
      <c r="I766" s="67">
        <f t="shared" si="171"/>
        <v>100</v>
      </c>
    </row>
    <row r="767" spans="1:9" s="119" customFormat="1">
      <c r="A767" s="65" t="s">
        <v>89</v>
      </c>
      <c r="B767" s="66" t="s">
        <v>446</v>
      </c>
      <c r="C767" s="66" t="s">
        <v>423</v>
      </c>
      <c r="D767" s="66" t="s">
        <v>564</v>
      </c>
      <c r="E767" s="66" t="s">
        <v>90</v>
      </c>
      <c r="F767" s="67">
        <v>20000</v>
      </c>
      <c r="G767" s="279">
        <v>0</v>
      </c>
      <c r="H767" s="67">
        <v>20000</v>
      </c>
      <c r="I767" s="67">
        <f t="shared" si="171"/>
        <v>100</v>
      </c>
    </row>
    <row r="768" spans="1:9" s="119" customFormat="1">
      <c r="A768" s="58" t="s">
        <v>84</v>
      </c>
      <c r="B768" s="59" t="s">
        <v>446</v>
      </c>
      <c r="C768" s="59" t="s">
        <v>423</v>
      </c>
      <c r="D768" s="59" t="s">
        <v>288</v>
      </c>
      <c r="E768" s="66"/>
      <c r="F768" s="60">
        <f t="shared" ref="F768:H769" si="179">F769</f>
        <v>30</v>
      </c>
      <c r="G768" s="60">
        <f t="shared" si="179"/>
        <v>30</v>
      </c>
      <c r="H768" s="60">
        <f t="shared" si="179"/>
        <v>30</v>
      </c>
      <c r="I768" s="60">
        <f t="shared" si="171"/>
        <v>100</v>
      </c>
    </row>
    <row r="769" spans="1:9" s="119" customFormat="1">
      <c r="A769" s="65" t="s">
        <v>88</v>
      </c>
      <c r="B769" s="66" t="s">
        <v>446</v>
      </c>
      <c r="C769" s="66" t="s">
        <v>423</v>
      </c>
      <c r="D769" s="66" t="s">
        <v>288</v>
      </c>
      <c r="E769" s="66" t="s">
        <v>87</v>
      </c>
      <c r="F769" s="67">
        <f t="shared" si="179"/>
        <v>30</v>
      </c>
      <c r="G769" s="67">
        <f t="shared" si="179"/>
        <v>30</v>
      </c>
      <c r="H769" s="67">
        <f t="shared" si="179"/>
        <v>30</v>
      </c>
      <c r="I769" s="67">
        <f t="shared" si="171"/>
        <v>100</v>
      </c>
    </row>
    <row r="770" spans="1:9" s="119" customFormat="1">
      <c r="A770" s="65" t="s">
        <v>89</v>
      </c>
      <c r="B770" s="66" t="s">
        <v>446</v>
      </c>
      <c r="C770" s="66" t="s">
        <v>423</v>
      </c>
      <c r="D770" s="66" t="s">
        <v>288</v>
      </c>
      <c r="E770" s="66" t="s">
        <v>90</v>
      </c>
      <c r="F770" s="67">
        <v>30</v>
      </c>
      <c r="G770" s="67">
        <v>30</v>
      </c>
      <c r="H770" s="67">
        <v>30</v>
      </c>
      <c r="I770" s="67">
        <f t="shared" si="171"/>
        <v>100</v>
      </c>
    </row>
    <row r="771" spans="1:9" s="119" customFormat="1">
      <c r="A771" s="58" t="s">
        <v>350</v>
      </c>
      <c r="B771" s="59" t="s">
        <v>446</v>
      </c>
      <c r="C771" s="59" t="s">
        <v>71</v>
      </c>
      <c r="D771" s="59"/>
      <c r="E771" s="59"/>
      <c r="F771" s="78">
        <f t="shared" ref="F771:H775" si="180">F772</f>
        <v>19101.3</v>
      </c>
      <c r="G771" s="78">
        <f t="shared" si="180"/>
        <v>14036.627140000001</v>
      </c>
      <c r="H771" s="78">
        <f t="shared" si="180"/>
        <v>19101.3</v>
      </c>
      <c r="I771" s="78">
        <f t="shared" si="171"/>
        <v>100</v>
      </c>
    </row>
    <row r="772" spans="1:9" s="119" customFormat="1" ht="13.5">
      <c r="A772" s="69" t="s">
        <v>673</v>
      </c>
      <c r="B772" s="61" t="s">
        <v>446</v>
      </c>
      <c r="C772" s="61" t="s">
        <v>71</v>
      </c>
      <c r="D772" s="61" t="s">
        <v>139</v>
      </c>
      <c r="E772" s="71"/>
      <c r="F772" s="105">
        <f t="shared" si="180"/>
        <v>19101.3</v>
      </c>
      <c r="G772" s="105">
        <f t="shared" si="180"/>
        <v>14036.627140000001</v>
      </c>
      <c r="H772" s="105">
        <f t="shared" si="180"/>
        <v>19101.3</v>
      </c>
      <c r="I772" s="105">
        <f t="shared" si="171"/>
        <v>100</v>
      </c>
    </row>
    <row r="773" spans="1:9" s="119" customFormat="1">
      <c r="A773" s="58" t="s">
        <v>259</v>
      </c>
      <c r="B773" s="59" t="s">
        <v>446</v>
      </c>
      <c r="C773" s="59" t="s">
        <v>71</v>
      </c>
      <c r="D773" s="59" t="s">
        <v>148</v>
      </c>
      <c r="E773" s="59"/>
      <c r="F773" s="78">
        <f t="shared" si="180"/>
        <v>19101.3</v>
      </c>
      <c r="G773" s="78">
        <f t="shared" si="180"/>
        <v>14036.627140000001</v>
      </c>
      <c r="H773" s="78">
        <f t="shared" si="180"/>
        <v>19101.3</v>
      </c>
      <c r="I773" s="78">
        <f t="shared" si="171"/>
        <v>100</v>
      </c>
    </row>
    <row r="774" spans="1:9" s="119" customFormat="1" ht="36">
      <c r="A774" s="113" t="s">
        <v>739</v>
      </c>
      <c r="B774" s="83" t="s">
        <v>446</v>
      </c>
      <c r="C774" s="83" t="s">
        <v>71</v>
      </c>
      <c r="D774" s="83" t="s">
        <v>260</v>
      </c>
      <c r="E774" s="83"/>
      <c r="F774" s="124">
        <f t="shared" si="180"/>
        <v>19101.3</v>
      </c>
      <c r="G774" s="124">
        <f t="shared" si="180"/>
        <v>14036.627140000001</v>
      </c>
      <c r="H774" s="124">
        <f t="shared" si="180"/>
        <v>19101.3</v>
      </c>
      <c r="I774" s="124">
        <f t="shared" si="171"/>
        <v>100</v>
      </c>
    </row>
    <row r="775" spans="1:9" s="119" customFormat="1">
      <c r="A775" s="65" t="s">
        <v>88</v>
      </c>
      <c r="B775" s="66" t="s">
        <v>446</v>
      </c>
      <c r="C775" s="66" t="s">
        <v>71</v>
      </c>
      <c r="D775" s="66" t="s">
        <v>260</v>
      </c>
      <c r="E775" s="66" t="s">
        <v>87</v>
      </c>
      <c r="F775" s="79">
        <f t="shared" si="180"/>
        <v>19101.3</v>
      </c>
      <c r="G775" s="79">
        <f t="shared" si="180"/>
        <v>14036.627140000001</v>
      </c>
      <c r="H775" s="79">
        <f t="shared" si="180"/>
        <v>19101.3</v>
      </c>
      <c r="I775" s="79">
        <f t="shared" si="171"/>
        <v>100</v>
      </c>
    </row>
    <row r="776" spans="1:9" s="119" customFormat="1">
      <c r="A776" s="65" t="s">
        <v>138</v>
      </c>
      <c r="B776" s="66" t="s">
        <v>446</v>
      </c>
      <c r="C776" s="66" t="s">
        <v>71</v>
      </c>
      <c r="D776" s="66" t="s">
        <v>260</v>
      </c>
      <c r="E776" s="66" t="s">
        <v>449</v>
      </c>
      <c r="F776" s="79">
        <f>16500+2601.3</f>
        <v>19101.3</v>
      </c>
      <c r="G776" s="79">
        <v>14036.627140000001</v>
      </c>
      <c r="H776" s="79">
        <f>16500+2601.3</f>
        <v>19101.3</v>
      </c>
      <c r="I776" s="79">
        <f t="shared" si="171"/>
        <v>100</v>
      </c>
    </row>
    <row r="777" spans="1:9" s="119" customFormat="1" ht="15.75">
      <c r="A777" s="58" t="s">
        <v>353</v>
      </c>
      <c r="B777" s="59" t="s">
        <v>83</v>
      </c>
      <c r="C777" s="59" t="s">
        <v>70</v>
      </c>
      <c r="D777" s="63"/>
      <c r="E777" s="63"/>
      <c r="F777" s="60">
        <f>F778+F793</f>
        <v>38761.354000000007</v>
      </c>
      <c r="G777" s="60">
        <f t="shared" ref="G777:H777" si="181">G778+G793</f>
        <v>26629.58684</v>
      </c>
      <c r="H777" s="60">
        <f t="shared" si="181"/>
        <v>38761.354000000007</v>
      </c>
      <c r="I777" s="60">
        <f t="shared" si="171"/>
        <v>100</v>
      </c>
    </row>
    <row r="778" spans="1:9" s="119" customFormat="1" ht="15.75">
      <c r="A778" s="58" t="s">
        <v>57</v>
      </c>
      <c r="B778" s="59" t="s">
        <v>83</v>
      </c>
      <c r="C778" s="59" t="s">
        <v>69</v>
      </c>
      <c r="D778" s="63"/>
      <c r="E778" s="63"/>
      <c r="F778" s="127">
        <f>F779+F783</f>
        <v>34275.200000000004</v>
      </c>
      <c r="G778" s="127">
        <f>G779+G783</f>
        <v>23548.47436</v>
      </c>
      <c r="H778" s="127">
        <f>H779+H783</f>
        <v>34275.200000000004</v>
      </c>
      <c r="I778" s="127">
        <f t="shared" si="171"/>
        <v>100</v>
      </c>
    </row>
    <row r="779" spans="1:9" s="119" customFormat="1" ht="27">
      <c r="A779" s="69" t="s">
        <v>674</v>
      </c>
      <c r="B779" s="61" t="s">
        <v>83</v>
      </c>
      <c r="C779" s="61" t="s">
        <v>69</v>
      </c>
      <c r="D779" s="61" t="s">
        <v>243</v>
      </c>
      <c r="E779" s="61"/>
      <c r="F779" s="62">
        <f t="shared" ref="F779:H781" si="182">F780</f>
        <v>50</v>
      </c>
      <c r="G779" s="332">
        <f t="shared" si="182"/>
        <v>0</v>
      </c>
      <c r="H779" s="62">
        <f t="shared" si="182"/>
        <v>50</v>
      </c>
      <c r="I779" s="62">
        <f t="shared" si="171"/>
        <v>100</v>
      </c>
    </row>
    <row r="780" spans="1:9" s="119" customFormat="1">
      <c r="A780" s="85" t="s">
        <v>120</v>
      </c>
      <c r="B780" s="59" t="s">
        <v>83</v>
      </c>
      <c r="C780" s="59" t="s">
        <v>69</v>
      </c>
      <c r="D780" s="59" t="s">
        <v>612</v>
      </c>
      <c r="E780" s="59"/>
      <c r="F780" s="60">
        <f t="shared" si="182"/>
        <v>50</v>
      </c>
      <c r="G780" s="314">
        <f t="shared" si="182"/>
        <v>0</v>
      </c>
      <c r="H780" s="60">
        <f t="shared" si="182"/>
        <v>50</v>
      </c>
      <c r="I780" s="60">
        <f t="shared" si="171"/>
        <v>100</v>
      </c>
    </row>
    <row r="781" spans="1:9" s="119" customFormat="1">
      <c r="A781" s="65" t="s">
        <v>199</v>
      </c>
      <c r="B781" s="66" t="s">
        <v>83</v>
      </c>
      <c r="C781" s="66" t="s">
        <v>69</v>
      </c>
      <c r="D781" s="66" t="s">
        <v>612</v>
      </c>
      <c r="E781" s="66" t="s">
        <v>377</v>
      </c>
      <c r="F781" s="67">
        <f t="shared" si="182"/>
        <v>50</v>
      </c>
      <c r="G781" s="279">
        <f t="shared" si="182"/>
        <v>0</v>
      </c>
      <c r="H781" s="67">
        <f t="shared" si="182"/>
        <v>50</v>
      </c>
      <c r="I781" s="67">
        <f t="shared" si="171"/>
        <v>100</v>
      </c>
    </row>
    <row r="782" spans="1:9" s="119" customFormat="1">
      <c r="A782" s="65" t="s">
        <v>378</v>
      </c>
      <c r="B782" s="66" t="s">
        <v>83</v>
      </c>
      <c r="C782" s="66" t="s">
        <v>69</v>
      </c>
      <c r="D782" s="66" t="s">
        <v>612</v>
      </c>
      <c r="E782" s="66" t="s">
        <v>379</v>
      </c>
      <c r="F782" s="67">
        <v>50</v>
      </c>
      <c r="G782" s="279">
        <v>0</v>
      </c>
      <c r="H782" s="67">
        <v>50</v>
      </c>
      <c r="I782" s="67">
        <f t="shared" si="171"/>
        <v>100</v>
      </c>
    </row>
    <row r="783" spans="1:9" s="119" customFormat="1" ht="27">
      <c r="A783" s="69" t="s">
        <v>573</v>
      </c>
      <c r="B783" s="61" t="s">
        <v>83</v>
      </c>
      <c r="C783" s="61" t="s">
        <v>69</v>
      </c>
      <c r="D783" s="61" t="s">
        <v>48</v>
      </c>
      <c r="E783" s="61"/>
      <c r="F783" s="62">
        <f>F784+F788</f>
        <v>34225.200000000004</v>
      </c>
      <c r="G783" s="62">
        <f>G784+G788</f>
        <v>23548.47436</v>
      </c>
      <c r="H783" s="62">
        <f>H784+H788</f>
        <v>34225.200000000004</v>
      </c>
      <c r="I783" s="62">
        <f t="shared" si="171"/>
        <v>100</v>
      </c>
    </row>
    <row r="784" spans="1:9" s="119" customFormat="1" ht="24">
      <c r="A784" s="58" t="s">
        <v>479</v>
      </c>
      <c r="B784" s="59" t="s">
        <v>83</v>
      </c>
      <c r="C784" s="59" t="s">
        <v>69</v>
      </c>
      <c r="D784" s="59" t="s">
        <v>59</v>
      </c>
      <c r="E784" s="63"/>
      <c r="F784" s="60">
        <f t="shared" ref="F784:H786" si="183">F785</f>
        <v>3800</v>
      </c>
      <c r="G784" s="60">
        <f t="shared" si="183"/>
        <v>1976.1948299999999</v>
      </c>
      <c r="H784" s="60">
        <f t="shared" si="183"/>
        <v>3800</v>
      </c>
      <c r="I784" s="60">
        <f t="shared" si="171"/>
        <v>100</v>
      </c>
    </row>
    <row r="785" spans="1:9" s="119" customFormat="1" ht="24">
      <c r="A785" s="70" t="s">
        <v>315</v>
      </c>
      <c r="B785" s="71" t="s">
        <v>83</v>
      </c>
      <c r="C785" s="71" t="s">
        <v>69</v>
      </c>
      <c r="D785" s="71" t="s">
        <v>575</v>
      </c>
      <c r="E785" s="71"/>
      <c r="F785" s="72">
        <f t="shared" si="183"/>
        <v>3800</v>
      </c>
      <c r="G785" s="72">
        <f t="shared" si="183"/>
        <v>1976.1948299999999</v>
      </c>
      <c r="H785" s="72">
        <f t="shared" si="183"/>
        <v>3800</v>
      </c>
      <c r="I785" s="72">
        <f t="shared" si="171"/>
        <v>100</v>
      </c>
    </row>
    <row r="786" spans="1:9" s="119" customFormat="1">
      <c r="A786" s="65" t="s">
        <v>94</v>
      </c>
      <c r="B786" s="66" t="s">
        <v>83</v>
      </c>
      <c r="C786" s="66" t="s">
        <v>69</v>
      </c>
      <c r="D786" s="66" t="s">
        <v>575</v>
      </c>
      <c r="E786" s="66" t="s">
        <v>362</v>
      </c>
      <c r="F786" s="67">
        <f t="shared" si="183"/>
        <v>3800</v>
      </c>
      <c r="G786" s="67">
        <f t="shared" si="183"/>
        <v>1976.1948299999999</v>
      </c>
      <c r="H786" s="67">
        <f t="shared" si="183"/>
        <v>3800</v>
      </c>
      <c r="I786" s="67">
        <f t="shared" si="171"/>
        <v>100</v>
      </c>
    </row>
    <row r="787" spans="1:9" s="119" customFormat="1">
      <c r="A787" s="65" t="s">
        <v>447</v>
      </c>
      <c r="B787" s="66" t="s">
        <v>83</v>
      </c>
      <c r="C787" s="66" t="s">
        <v>69</v>
      </c>
      <c r="D787" s="66" t="s">
        <v>575</v>
      </c>
      <c r="E787" s="66" t="s">
        <v>448</v>
      </c>
      <c r="F787" s="67">
        <f>3500+300</f>
        <v>3800</v>
      </c>
      <c r="G787" s="67">
        <v>1976.1948299999999</v>
      </c>
      <c r="H787" s="67">
        <f>3500+300</f>
        <v>3800</v>
      </c>
      <c r="I787" s="67">
        <f t="shared" si="171"/>
        <v>100</v>
      </c>
    </row>
    <row r="788" spans="1:9" s="119" customFormat="1" ht="24">
      <c r="A788" s="85" t="s">
        <v>47</v>
      </c>
      <c r="B788" s="59" t="s">
        <v>83</v>
      </c>
      <c r="C788" s="59" t="s">
        <v>69</v>
      </c>
      <c r="D788" s="59" t="s">
        <v>49</v>
      </c>
      <c r="E788" s="59"/>
      <c r="F788" s="78">
        <f t="shared" ref="F788:H791" si="184">F789</f>
        <v>30425.200000000004</v>
      </c>
      <c r="G788" s="78">
        <f t="shared" si="184"/>
        <v>21572.27953</v>
      </c>
      <c r="H788" s="78">
        <f t="shared" si="184"/>
        <v>30425.200000000004</v>
      </c>
      <c r="I788" s="78">
        <f t="shared" si="171"/>
        <v>100</v>
      </c>
    </row>
    <row r="789" spans="1:9" s="119" customFormat="1">
      <c r="A789" s="85" t="s">
        <v>50</v>
      </c>
      <c r="B789" s="59" t="s">
        <v>83</v>
      </c>
      <c r="C789" s="59" t="s">
        <v>69</v>
      </c>
      <c r="D789" s="59" t="s">
        <v>576</v>
      </c>
      <c r="E789" s="59"/>
      <c r="F789" s="78">
        <f t="shared" si="184"/>
        <v>30425.200000000004</v>
      </c>
      <c r="G789" s="78">
        <f t="shared" si="184"/>
        <v>21572.27953</v>
      </c>
      <c r="H789" s="78">
        <f t="shared" si="184"/>
        <v>30425.200000000004</v>
      </c>
      <c r="I789" s="78">
        <f t="shared" si="171"/>
        <v>100</v>
      </c>
    </row>
    <row r="790" spans="1:9" s="119" customFormat="1" ht="24">
      <c r="A790" s="103" t="s">
        <v>277</v>
      </c>
      <c r="B790" s="83" t="s">
        <v>83</v>
      </c>
      <c r="C790" s="83" t="s">
        <v>69</v>
      </c>
      <c r="D790" s="83" t="s">
        <v>576</v>
      </c>
      <c r="E790" s="83"/>
      <c r="F790" s="124">
        <f t="shared" si="184"/>
        <v>30425.200000000004</v>
      </c>
      <c r="G790" s="124">
        <f t="shared" si="184"/>
        <v>21572.27953</v>
      </c>
      <c r="H790" s="124">
        <f t="shared" si="184"/>
        <v>30425.200000000004</v>
      </c>
      <c r="I790" s="124">
        <f t="shared" si="171"/>
        <v>100</v>
      </c>
    </row>
    <row r="791" spans="1:9" s="119" customFormat="1">
      <c r="A791" s="65" t="s">
        <v>94</v>
      </c>
      <c r="B791" s="66" t="s">
        <v>83</v>
      </c>
      <c r="C791" s="66" t="s">
        <v>69</v>
      </c>
      <c r="D791" s="66" t="s">
        <v>576</v>
      </c>
      <c r="E791" s="66" t="s">
        <v>362</v>
      </c>
      <c r="F791" s="79">
        <f t="shared" si="184"/>
        <v>30425.200000000004</v>
      </c>
      <c r="G791" s="79">
        <f t="shared" si="184"/>
        <v>21572.27953</v>
      </c>
      <c r="H791" s="79">
        <f t="shared" si="184"/>
        <v>30425.200000000004</v>
      </c>
      <c r="I791" s="79">
        <f t="shared" si="171"/>
        <v>100</v>
      </c>
    </row>
    <row r="792" spans="1:9" s="119" customFormat="1">
      <c r="A792" s="65" t="s">
        <v>447</v>
      </c>
      <c r="B792" s="66" t="s">
        <v>83</v>
      </c>
      <c r="C792" s="66" t="s">
        <v>69</v>
      </c>
      <c r="D792" s="66" t="s">
        <v>576</v>
      </c>
      <c r="E792" s="66" t="s">
        <v>448</v>
      </c>
      <c r="F792" s="79">
        <f>27870.2+5077.1-2281.1-241</f>
        <v>30425.200000000004</v>
      </c>
      <c r="G792" s="79">
        <v>21572.27953</v>
      </c>
      <c r="H792" s="79">
        <f>27870.2+5077.1-2281.1-241</f>
        <v>30425.200000000004</v>
      </c>
      <c r="I792" s="79">
        <f t="shared" si="171"/>
        <v>100</v>
      </c>
    </row>
    <row r="793" spans="1:9" s="119" customFormat="1">
      <c r="A793" s="58" t="s">
        <v>162</v>
      </c>
      <c r="B793" s="59" t="s">
        <v>83</v>
      </c>
      <c r="C793" s="59" t="s">
        <v>376</v>
      </c>
      <c r="D793" s="59"/>
      <c r="E793" s="59"/>
      <c r="F793" s="60">
        <f>F794+F805</f>
        <v>4486.1540000000005</v>
      </c>
      <c r="G793" s="60">
        <f>G794+G805</f>
        <v>3081.1124799999998</v>
      </c>
      <c r="H793" s="60">
        <f>H794+H805</f>
        <v>4486.1540000000005</v>
      </c>
      <c r="I793" s="60">
        <f t="shared" si="171"/>
        <v>100</v>
      </c>
    </row>
    <row r="794" spans="1:9" s="119" customFormat="1" ht="27">
      <c r="A794" s="69" t="s">
        <v>573</v>
      </c>
      <c r="B794" s="61" t="s">
        <v>83</v>
      </c>
      <c r="C794" s="61" t="s">
        <v>376</v>
      </c>
      <c r="D794" s="61" t="s">
        <v>48</v>
      </c>
      <c r="E794" s="59"/>
      <c r="F794" s="62">
        <f t="shared" ref="F794:H794" si="185">F795</f>
        <v>4400</v>
      </c>
      <c r="G794" s="62">
        <f t="shared" si="185"/>
        <v>3081.1124799999998</v>
      </c>
      <c r="H794" s="62">
        <f t="shared" si="185"/>
        <v>4400</v>
      </c>
      <c r="I794" s="62">
        <f t="shared" si="171"/>
        <v>100</v>
      </c>
    </row>
    <row r="795" spans="1:9" s="119" customFormat="1">
      <c r="A795" s="58" t="s">
        <v>60</v>
      </c>
      <c r="B795" s="59" t="s">
        <v>83</v>
      </c>
      <c r="C795" s="59" t="s">
        <v>376</v>
      </c>
      <c r="D795" s="59" t="s">
        <v>61</v>
      </c>
      <c r="E795" s="59"/>
      <c r="F795" s="60">
        <f>F796+F800</f>
        <v>4400</v>
      </c>
      <c r="G795" s="60">
        <f>G796+G800</f>
        <v>3081.1124799999998</v>
      </c>
      <c r="H795" s="60">
        <f>H796+H800</f>
        <v>4400</v>
      </c>
      <c r="I795" s="60">
        <f t="shared" si="171"/>
        <v>100</v>
      </c>
    </row>
    <row r="796" spans="1:9" s="119" customFormat="1" ht="24">
      <c r="A796" s="58" t="s">
        <v>280</v>
      </c>
      <c r="B796" s="59" t="s">
        <v>83</v>
      </c>
      <c r="C796" s="59" t="s">
        <v>376</v>
      </c>
      <c r="D796" s="59" t="s">
        <v>62</v>
      </c>
      <c r="E796" s="59"/>
      <c r="F796" s="60">
        <f t="shared" ref="F796:H798" si="186">F797</f>
        <v>4227</v>
      </c>
      <c r="G796" s="60">
        <f t="shared" si="186"/>
        <v>2943.99262</v>
      </c>
      <c r="H796" s="60">
        <f t="shared" si="186"/>
        <v>4227</v>
      </c>
      <c r="I796" s="60">
        <f t="shared" si="171"/>
        <v>100</v>
      </c>
    </row>
    <row r="797" spans="1:9" s="119" customFormat="1">
      <c r="A797" s="89" t="s">
        <v>271</v>
      </c>
      <c r="B797" s="71" t="s">
        <v>83</v>
      </c>
      <c r="C797" s="71" t="s">
        <v>376</v>
      </c>
      <c r="D797" s="71" t="s">
        <v>62</v>
      </c>
      <c r="E797" s="71"/>
      <c r="F797" s="72">
        <f t="shared" si="186"/>
        <v>4227</v>
      </c>
      <c r="G797" s="72">
        <f t="shared" si="186"/>
        <v>2943.99262</v>
      </c>
      <c r="H797" s="72">
        <f t="shared" si="186"/>
        <v>4227</v>
      </c>
      <c r="I797" s="72">
        <f t="shared" si="171"/>
        <v>100</v>
      </c>
    </row>
    <row r="798" spans="1:9" s="119" customFormat="1" ht="24">
      <c r="A798" s="65" t="s">
        <v>72</v>
      </c>
      <c r="B798" s="66" t="s">
        <v>83</v>
      </c>
      <c r="C798" s="66" t="s">
        <v>376</v>
      </c>
      <c r="D798" s="66" t="s">
        <v>62</v>
      </c>
      <c r="E798" s="66" t="s">
        <v>73</v>
      </c>
      <c r="F798" s="67">
        <f t="shared" si="186"/>
        <v>4227</v>
      </c>
      <c r="G798" s="67">
        <f t="shared" si="186"/>
        <v>2943.99262</v>
      </c>
      <c r="H798" s="67">
        <f t="shared" si="186"/>
        <v>4227</v>
      </c>
      <c r="I798" s="67">
        <f t="shared" si="171"/>
        <v>100</v>
      </c>
    </row>
    <row r="799" spans="1:9" s="119" customFormat="1">
      <c r="A799" s="65" t="s">
        <v>74</v>
      </c>
      <c r="B799" s="66" t="s">
        <v>83</v>
      </c>
      <c r="C799" s="66" t="s">
        <v>376</v>
      </c>
      <c r="D799" s="66" t="s">
        <v>62</v>
      </c>
      <c r="E799" s="66" t="s">
        <v>75</v>
      </c>
      <c r="F799" s="67">
        <f>4287-60</f>
        <v>4227</v>
      </c>
      <c r="G799" s="67">
        <v>2943.99262</v>
      </c>
      <c r="H799" s="67">
        <f>4287-60</f>
        <v>4227</v>
      </c>
      <c r="I799" s="67">
        <f t="shared" si="171"/>
        <v>100</v>
      </c>
    </row>
    <row r="800" spans="1:9" s="119" customFormat="1">
      <c r="A800" s="58" t="s">
        <v>76</v>
      </c>
      <c r="B800" s="59" t="s">
        <v>83</v>
      </c>
      <c r="C800" s="59" t="s">
        <v>376</v>
      </c>
      <c r="D800" s="59" t="s">
        <v>63</v>
      </c>
      <c r="E800" s="59"/>
      <c r="F800" s="60">
        <f>F801+F803</f>
        <v>173</v>
      </c>
      <c r="G800" s="60">
        <f>G801+G803</f>
        <v>137.11985999999999</v>
      </c>
      <c r="H800" s="60">
        <f>H801+H803</f>
        <v>173</v>
      </c>
      <c r="I800" s="60">
        <f t="shared" si="171"/>
        <v>100</v>
      </c>
    </row>
    <row r="801" spans="1:9" s="119" customFormat="1">
      <c r="A801" s="65" t="s">
        <v>486</v>
      </c>
      <c r="B801" s="66" t="s">
        <v>83</v>
      </c>
      <c r="C801" s="66" t="s">
        <v>376</v>
      </c>
      <c r="D801" s="66" t="s">
        <v>63</v>
      </c>
      <c r="E801" s="66" t="s">
        <v>77</v>
      </c>
      <c r="F801" s="67">
        <f>F802</f>
        <v>163</v>
      </c>
      <c r="G801" s="67">
        <f>G802</f>
        <v>137.11985999999999</v>
      </c>
      <c r="H801" s="67">
        <f>H802</f>
        <v>163</v>
      </c>
      <c r="I801" s="67">
        <f t="shared" ref="I801:I821" si="187">H801/F801*100</f>
        <v>100</v>
      </c>
    </row>
    <row r="802" spans="1:9" s="119" customFormat="1">
      <c r="A802" s="65" t="s">
        <v>78</v>
      </c>
      <c r="B802" s="66" t="s">
        <v>83</v>
      </c>
      <c r="C802" s="66" t="s">
        <v>376</v>
      </c>
      <c r="D802" s="66" t="s">
        <v>63</v>
      </c>
      <c r="E802" s="66" t="s">
        <v>79</v>
      </c>
      <c r="F802" s="67">
        <f>103+60</f>
        <v>163</v>
      </c>
      <c r="G802" s="67">
        <v>137.11985999999999</v>
      </c>
      <c r="H802" s="67">
        <f>103+60</f>
        <v>163</v>
      </c>
      <c r="I802" s="67">
        <f t="shared" si="187"/>
        <v>100</v>
      </c>
    </row>
    <row r="803" spans="1:9" s="119" customFormat="1">
      <c r="A803" s="65" t="s">
        <v>80</v>
      </c>
      <c r="B803" s="66" t="s">
        <v>83</v>
      </c>
      <c r="C803" s="66" t="s">
        <v>376</v>
      </c>
      <c r="D803" s="66" t="s">
        <v>63</v>
      </c>
      <c r="E803" s="66" t="s">
        <v>81</v>
      </c>
      <c r="F803" s="67">
        <f>F804</f>
        <v>10</v>
      </c>
      <c r="G803" s="279">
        <f>G804</f>
        <v>0</v>
      </c>
      <c r="H803" s="67">
        <f>H804</f>
        <v>10</v>
      </c>
      <c r="I803" s="67">
        <f t="shared" si="187"/>
        <v>100</v>
      </c>
    </row>
    <row r="804" spans="1:9" s="119" customFormat="1">
      <c r="A804" s="65" t="s">
        <v>445</v>
      </c>
      <c r="B804" s="66" t="s">
        <v>83</v>
      </c>
      <c r="C804" s="66" t="s">
        <v>376</v>
      </c>
      <c r="D804" s="66" t="s">
        <v>63</v>
      </c>
      <c r="E804" s="66" t="s">
        <v>82</v>
      </c>
      <c r="F804" s="67">
        <v>10</v>
      </c>
      <c r="G804" s="67"/>
      <c r="H804" s="67">
        <v>10</v>
      </c>
      <c r="I804" s="67">
        <f t="shared" si="187"/>
        <v>100</v>
      </c>
    </row>
    <row r="805" spans="1:9" s="23" customFormat="1">
      <c r="A805" s="173" t="s">
        <v>67</v>
      </c>
      <c r="B805" s="140" t="s">
        <v>83</v>
      </c>
      <c r="C805" s="140" t="s">
        <v>376</v>
      </c>
      <c r="D805" s="140" t="s">
        <v>187</v>
      </c>
      <c r="E805" s="22"/>
      <c r="F805" s="175">
        <f t="shared" ref="F805:H808" si="188">F806</f>
        <v>86.153999999999996</v>
      </c>
      <c r="G805" s="325">
        <f t="shared" si="188"/>
        <v>0</v>
      </c>
      <c r="H805" s="175">
        <f t="shared" si="188"/>
        <v>86.153999999999996</v>
      </c>
      <c r="I805" s="175">
        <f t="shared" si="187"/>
        <v>100</v>
      </c>
    </row>
    <row r="806" spans="1:9" s="23" customFormat="1">
      <c r="A806" s="212" t="s">
        <v>272</v>
      </c>
      <c r="B806" s="132" t="s">
        <v>83</v>
      </c>
      <c r="C806" s="132" t="s">
        <v>376</v>
      </c>
      <c r="D806" s="132" t="s">
        <v>188</v>
      </c>
      <c r="E806" s="22"/>
      <c r="F806" s="158">
        <f t="shared" si="188"/>
        <v>86.153999999999996</v>
      </c>
      <c r="G806" s="324">
        <f t="shared" si="188"/>
        <v>0</v>
      </c>
      <c r="H806" s="158">
        <f t="shared" si="188"/>
        <v>86.153999999999996</v>
      </c>
      <c r="I806" s="158">
        <f t="shared" si="187"/>
        <v>100</v>
      </c>
    </row>
    <row r="807" spans="1:9" s="23" customFormat="1">
      <c r="A807" s="133" t="s">
        <v>774</v>
      </c>
      <c r="B807" s="132" t="s">
        <v>83</v>
      </c>
      <c r="C807" s="132" t="s">
        <v>376</v>
      </c>
      <c r="D807" s="132" t="s">
        <v>769</v>
      </c>
      <c r="E807" s="132"/>
      <c r="F807" s="158">
        <f t="shared" si="188"/>
        <v>86.153999999999996</v>
      </c>
      <c r="G807" s="324">
        <f t="shared" si="188"/>
        <v>0</v>
      </c>
      <c r="H807" s="158">
        <f t="shared" si="188"/>
        <v>86.153999999999996</v>
      </c>
      <c r="I807" s="158">
        <f t="shared" si="187"/>
        <v>100</v>
      </c>
    </row>
    <row r="808" spans="1:9" s="23" customFormat="1" ht="24">
      <c r="A808" s="131" t="s">
        <v>72</v>
      </c>
      <c r="B808" s="22" t="s">
        <v>83</v>
      </c>
      <c r="C808" s="22" t="s">
        <v>376</v>
      </c>
      <c r="D808" s="22" t="s">
        <v>769</v>
      </c>
      <c r="E808" s="22" t="s">
        <v>73</v>
      </c>
      <c r="F808" s="156">
        <f t="shared" si="188"/>
        <v>86.153999999999996</v>
      </c>
      <c r="G808" s="323">
        <f t="shared" si="188"/>
        <v>0</v>
      </c>
      <c r="H808" s="156">
        <f t="shared" si="188"/>
        <v>86.153999999999996</v>
      </c>
      <c r="I808" s="156">
        <f t="shared" si="187"/>
        <v>100</v>
      </c>
    </row>
    <row r="809" spans="1:9" s="23" customFormat="1">
      <c r="A809" s="131" t="s">
        <v>74</v>
      </c>
      <c r="B809" s="22" t="s">
        <v>83</v>
      </c>
      <c r="C809" s="22" t="s">
        <v>376</v>
      </c>
      <c r="D809" s="22" t="s">
        <v>769</v>
      </c>
      <c r="E809" s="22" t="s">
        <v>75</v>
      </c>
      <c r="F809" s="156">
        <v>86.153999999999996</v>
      </c>
      <c r="G809" s="323">
        <v>0</v>
      </c>
      <c r="H809" s="156">
        <v>86.153999999999996</v>
      </c>
      <c r="I809" s="156">
        <f t="shared" si="187"/>
        <v>100</v>
      </c>
    </row>
    <row r="810" spans="1:9" s="119" customFormat="1">
      <c r="A810" s="58" t="s">
        <v>354</v>
      </c>
      <c r="B810" s="59" t="s">
        <v>429</v>
      </c>
      <c r="C810" s="59" t="s">
        <v>70</v>
      </c>
      <c r="D810" s="59"/>
      <c r="E810" s="59"/>
      <c r="F810" s="60">
        <f t="shared" ref="F810:H814" si="189">F811</f>
        <v>8888</v>
      </c>
      <c r="G810" s="60">
        <f t="shared" si="189"/>
        <v>8093.19632</v>
      </c>
      <c r="H810" s="60">
        <f t="shared" si="189"/>
        <v>8888</v>
      </c>
      <c r="I810" s="60">
        <f t="shared" si="187"/>
        <v>100</v>
      </c>
    </row>
    <row r="811" spans="1:9" s="119" customFormat="1" ht="15.75">
      <c r="A811" s="58" t="s">
        <v>343</v>
      </c>
      <c r="B811" s="59" t="s">
        <v>429</v>
      </c>
      <c r="C811" s="59" t="s">
        <v>431</v>
      </c>
      <c r="D811" s="59" t="s">
        <v>187</v>
      </c>
      <c r="E811" s="64"/>
      <c r="F811" s="60">
        <f t="shared" si="189"/>
        <v>8888</v>
      </c>
      <c r="G811" s="60">
        <f t="shared" si="189"/>
        <v>8093.19632</v>
      </c>
      <c r="H811" s="60">
        <f t="shared" si="189"/>
        <v>8888</v>
      </c>
      <c r="I811" s="60">
        <f t="shared" si="187"/>
        <v>100</v>
      </c>
    </row>
    <row r="812" spans="1:9" s="119" customFormat="1">
      <c r="A812" s="58" t="s">
        <v>98</v>
      </c>
      <c r="B812" s="59" t="s">
        <v>429</v>
      </c>
      <c r="C812" s="59" t="s">
        <v>431</v>
      </c>
      <c r="D812" s="59" t="s">
        <v>188</v>
      </c>
      <c r="E812" s="59"/>
      <c r="F812" s="60">
        <f t="shared" si="189"/>
        <v>8888</v>
      </c>
      <c r="G812" s="60">
        <f t="shared" si="189"/>
        <v>8093.19632</v>
      </c>
      <c r="H812" s="60">
        <f t="shared" si="189"/>
        <v>8888</v>
      </c>
      <c r="I812" s="60">
        <f t="shared" si="187"/>
        <v>100</v>
      </c>
    </row>
    <row r="813" spans="1:9" s="119" customFormat="1" ht="24">
      <c r="A813" s="58" t="s">
        <v>45</v>
      </c>
      <c r="B813" s="59" t="s">
        <v>429</v>
      </c>
      <c r="C813" s="59" t="s">
        <v>431</v>
      </c>
      <c r="D813" s="59" t="s">
        <v>437</v>
      </c>
      <c r="E813" s="59"/>
      <c r="F813" s="60">
        <f t="shared" si="189"/>
        <v>8888</v>
      </c>
      <c r="G813" s="60">
        <f t="shared" si="189"/>
        <v>8093.19632</v>
      </c>
      <c r="H813" s="60">
        <f t="shared" si="189"/>
        <v>8888</v>
      </c>
      <c r="I813" s="60">
        <f t="shared" si="187"/>
        <v>100</v>
      </c>
    </row>
    <row r="814" spans="1:9" s="119" customFormat="1">
      <c r="A814" s="65" t="s">
        <v>94</v>
      </c>
      <c r="B814" s="66" t="s">
        <v>429</v>
      </c>
      <c r="C814" s="66" t="s">
        <v>431</v>
      </c>
      <c r="D814" s="66" t="s">
        <v>437</v>
      </c>
      <c r="E814" s="66" t="s">
        <v>362</v>
      </c>
      <c r="F814" s="67">
        <f t="shared" si="189"/>
        <v>8888</v>
      </c>
      <c r="G814" s="67">
        <f t="shared" si="189"/>
        <v>8093.19632</v>
      </c>
      <c r="H814" s="67">
        <f t="shared" si="189"/>
        <v>8888</v>
      </c>
      <c r="I814" s="67">
        <f t="shared" si="187"/>
        <v>100</v>
      </c>
    </row>
    <row r="815" spans="1:9" s="119" customFormat="1">
      <c r="A815" s="65" t="s">
        <v>95</v>
      </c>
      <c r="B815" s="66" t="s">
        <v>429</v>
      </c>
      <c r="C815" s="66" t="s">
        <v>431</v>
      </c>
      <c r="D815" s="66" t="s">
        <v>437</v>
      </c>
      <c r="E815" s="66" t="s">
        <v>371</v>
      </c>
      <c r="F815" s="67">
        <f>8888</f>
        <v>8888</v>
      </c>
      <c r="G815" s="67">
        <v>8093.19632</v>
      </c>
      <c r="H815" s="67">
        <f>8888</f>
        <v>8888</v>
      </c>
      <c r="I815" s="67">
        <f t="shared" si="187"/>
        <v>100</v>
      </c>
    </row>
    <row r="816" spans="1:9" s="119" customFormat="1">
      <c r="A816" s="58" t="s">
        <v>655</v>
      </c>
      <c r="B816" s="59" t="s">
        <v>86</v>
      </c>
      <c r="C816" s="59" t="s">
        <v>70</v>
      </c>
      <c r="D816" s="59"/>
      <c r="E816" s="59"/>
      <c r="F816" s="60">
        <f t="shared" ref="F816:H820" si="190">F817</f>
        <v>45483.034</v>
      </c>
      <c r="G816" s="60">
        <f t="shared" si="190"/>
        <v>17716.626469999999</v>
      </c>
      <c r="H816" s="60">
        <f t="shared" si="190"/>
        <v>43883.034</v>
      </c>
      <c r="I816" s="60">
        <f t="shared" si="187"/>
        <v>96.482204771124103</v>
      </c>
    </row>
    <row r="817" spans="1:9" s="119" customFormat="1">
      <c r="A817" s="58" t="s">
        <v>272</v>
      </c>
      <c r="B817" s="59" t="s">
        <v>86</v>
      </c>
      <c r="C817" s="59" t="s">
        <v>69</v>
      </c>
      <c r="D817" s="86" t="s">
        <v>188</v>
      </c>
      <c r="E817" s="59"/>
      <c r="F817" s="60">
        <f t="shared" si="190"/>
        <v>45483.034</v>
      </c>
      <c r="G817" s="60">
        <f t="shared" si="190"/>
        <v>17716.626469999999</v>
      </c>
      <c r="H817" s="60">
        <f t="shared" si="190"/>
        <v>43883.034</v>
      </c>
      <c r="I817" s="60">
        <f t="shared" si="187"/>
        <v>96.482204771124103</v>
      </c>
    </row>
    <row r="818" spans="1:9" s="119" customFormat="1" ht="12" customHeight="1">
      <c r="A818" s="58" t="s">
        <v>656</v>
      </c>
      <c r="B818" s="59" t="s">
        <v>86</v>
      </c>
      <c r="C818" s="59" t="s">
        <v>69</v>
      </c>
      <c r="D818" s="59" t="s">
        <v>654</v>
      </c>
      <c r="E818" s="64"/>
      <c r="F818" s="60">
        <f t="shared" si="190"/>
        <v>45483.034</v>
      </c>
      <c r="G818" s="60">
        <f t="shared" si="190"/>
        <v>17716.626469999999</v>
      </c>
      <c r="H818" s="60">
        <f t="shared" si="190"/>
        <v>43883.034</v>
      </c>
      <c r="I818" s="60">
        <f t="shared" si="187"/>
        <v>96.482204771124103</v>
      </c>
    </row>
    <row r="819" spans="1:9" s="119" customFormat="1">
      <c r="A819" s="87" t="s">
        <v>283</v>
      </c>
      <c r="B819" s="83" t="s">
        <v>86</v>
      </c>
      <c r="C819" s="83" t="s">
        <v>69</v>
      </c>
      <c r="D819" s="104" t="s">
        <v>654</v>
      </c>
      <c r="E819" s="83"/>
      <c r="F819" s="88">
        <f t="shared" si="190"/>
        <v>45483.034</v>
      </c>
      <c r="G819" s="88">
        <f t="shared" si="190"/>
        <v>17716.626469999999</v>
      </c>
      <c r="H819" s="88">
        <f t="shared" si="190"/>
        <v>43883.034</v>
      </c>
      <c r="I819" s="88">
        <f t="shared" si="187"/>
        <v>96.482204771124103</v>
      </c>
    </row>
    <row r="820" spans="1:9" s="119" customFormat="1">
      <c r="A820" s="65" t="s">
        <v>273</v>
      </c>
      <c r="B820" s="66" t="s">
        <v>86</v>
      </c>
      <c r="C820" s="66" t="s">
        <v>69</v>
      </c>
      <c r="D820" s="66" t="s">
        <v>654</v>
      </c>
      <c r="E820" s="66" t="s">
        <v>274</v>
      </c>
      <c r="F820" s="67">
        <f t="shared" si="190"/>
        <v>45483.034</v>
      </c>
      <c r="G820" s="67">
        <f t="shared" si="190"/>
        <v>17716.626469999999</v>
      </c>
      <c r="H820" s="67">
        <f t="shared" si="190"/>
        <v>43883.034</v>
      </c>
      <c r="I820" s="67">
        <f t="shared" si="187"/>
        <v>96.482204771124103</v>
      </c>
    </row>
    <row r="821" spans="1:9" s="119" customFormat="1">
      <c r="A821" s="65" t="s">
        <v>275</v>
      </c>
      <c r="B821" s="66" t="s">
        <v>86</v>
      </c>
      <c r="C821" s="66" t="s">
        <v>69</v>
      </c>
      <c r="D821" s="66" t="s">
        <v>654</v>
      </c>
      <c r="E821" s="66" t="s">
        <v>367</v>
      </c>
      <c r="F821" s="67">
        <f>110973.7-17000-7000-1800-4800-3000-900-1500-4500-2717.575-500-6000-11773.091-4000</f>
        <v>45483.034</v>
      </c>
      <c r="G821" s="67">
        <v>17716.626469999999</v>
      </c>
      <c r="H821" s="67">
        <f>110973.7-17000-7000-1800-4800-3000-900-1500-4500-2717.575-500-6000-11773.091-4000-1600</f>
        <v>43883.034</v>
      </c>
      <c r="I821" s="67">
        <f t="shared" si="187"/>
        <v>96.482204771124103</v>
      </c>
    </row>
    <row r="822" spans="1:9" s="119" customFormat="1" hidden="1">
      <c r="A822" s="187"/>
      <c r="B822" s="188"/>
      <c r="C822" s="188"/>
      <c r="D822" s="188"/>
      <c r="E822" s="188"/>
    </row>
    <row r="823" spans="1:9" s="119" customFormat="1" ht="18.75" hidden="1" customHeight="1">
      <c r="A823" s="365" t="s">
        <v>775</v>
      </c>
      <c r="B823" s="365"/>
      <c r="C823" s="365"/>
      <c r="D823" s="365"/>
      <c r="E823" s="365"/>
      <c r="F823" s="365"/>
    </row>
    <row r="824" spans="1:9">
      <c r="A824" s="26"/>
      <c r="B824" s="5"/>
      <c r="C824" s="5"/>
      <c r="D824" s="5"/>
      <c r="E824" s="5"/>
    </row>
    <row r="825" spans="1:9">
      <c r="A825" s="26"/>
      <c r="B825" s="5"/>
      <c r="C825" s="5"/>
      <c r="D825" s="5"/>
      <c r="E825" s="5"/>
    </row>
    <row r="826" spans="1:9">
      <c r="A826" s="26"/>
      <c r="B826" s="5"/>
      <c r="C826" s="5"/>
      <c r="D826" s="5"/>
      <c r="E826" s="5"/>
    </row>
    <row r="827" spans="1:9">
      <c r="A827" s="26"/>
      <c r="B827" s="5"/>
      <c r="C827" s="5"/>
      <c r="D827" s="5"/>
      <c r="E827" s="5"/>
    </row>
    <row r="828" spans="1:9">
      <c r="A828" s="26"/>
      <c r="B828" s="5"/>
      <c r="C828" s="5"/>
      <c r="D828" s="5"/>
      <c r="E828" s="5"/>
    </row>
    <row r="829" spans="1:9">
      <c r="A829" s="26"/>
      <c r="B829" s="5"/>
      <c r="C829" s="5"/>
      <c r="D829" s="5"/>
      <c r="E829" s="5"/>
    </row>
    <row r="830" spans="1:9">
      <c r="A830" s="26"/>
      <c r="B830" s="5"/>
      <c r="C830" s="5"/>
      <c r="D830" s="5"/>
      <c r="E830" s="5"/>
    </row>
    <row r="831" spans="1:9">
      <c r="A831" s="26"/>
      <c r="B831" s="5"/>
      <c r="C831" s="5"/>
      <c r="D831" s="5"/>
      <c r="E831" s="5"/>
    </row>
    <row r="832" spans="1:9">
      <c r="A832" s="26"/>
      <c r="B832" s="5"/>
      <c r="C832" s="5"/>
      <c r="D832" s="5"/>
      <c r="E832" s="5"/>
    </row>
    <row r="833" spans="1:5">
      <c r="A833" s="26"/>
      <c r="B833" s="5"/>
      <c r="C833" s="5"/>
      <c r="D833" s="5"/>
      <c r="E833" s="5"/>
    </row>
    <row r="834" spans="1:5">
      <c r="A834" s="26"/>
      <c r="B834" s="5"/>
      <c r="C834" s="5"/>
      <c r="D834" s="5"/>
      <c r="E834" s="5"/>
    </row>
    <row r="835" spans="1:5">
      <c r="A835" s="26"/>
      <c r="B835" s="5"/>
      <c r="C835" s="5"/>
      <c r="D835" s="5"/>
      <c r="E835" s="5"/>
    </row>
    <row r="836" spans="1:5">
      <c r="A836" s="26"/>
      <c r="B836" s="5"/>
      <c r="C836" s="5"/>
      <c r="D836" s="5"/>
      <c r="E836" s="5"/>
    </row>
    <row r="837" spans="1:5">
      <c r="A837" s="26"/>
      <c r="B837" s="5"/>
      <c r="C837" s="5"/>
      <c r="D837" s="5"/>
      <c r="E837" s="5"/>
    </row>
    <row r="838" spans="1:5">
      <c r="A838" s="26"/>
      <c r="B838" s="5"/>
      <c r="C838" s="5"/>
      <c r="D838" s="5"/>
      <c r="E838" s="5"/>
    </row>
    <row r="839" spans="1:5">
      <c r="A839" s="26"/>
      <c r="B839" s="5"/>
      <c r="C839" s="5"/>
      <c r="D839" s="5"/>
      <c r="E839" s="5"/>
    </row>
    <row r="840" spans="1:5">
      <c r="A840" s="26"/>
      <c r="B840" s="5"/>
      <c r="C840" s="5"/>
      <c r="D840" s="5"/>
      <c r="E840" s="5"/>
    </row>
    <row r="841" spans="1:5">
      <c r="A841" s="26"/>
      <c r="B841" s="5"/>
      <c r="C841" s="5"/>
      <c r="D841" s="5"/>
      <c r="E841" s="5"/>
    </row>
    <row r="842" spans="1:5">
      <c r="A842" s="26"/>
      <c r="B842" s="5"/>
      <c r="C842" s="5"/>
      <c r="D842" s="5"/>
      <c r="E842" s="5"/>
    </row>
    <row r="843" spans="1:5">
      <c r="A843" s="26"/>
      <c r="B843" s="5"/>
      <c r="C843" s="5"/>
      <c r="D843" s="5"/>
      <c r="E843" s="5"/>
    </row>
    <row r="844" spans="1:5">
      <c r="A844" s="26"/>
      <c r="B844" s="5"/>
      <c r="C844" s="5"/>
      <c r="D844" s="5"/>
      <c r="E844" s="5"/>
    </row>
    <row r="845" spans="1:5">
      <c r="A845" s="26"/>
      <c r="B845" s="5"/>
      <c r="C845" s="5"/>
      <c r="D845" s="5"/>
      <c r="E845" s="5"/>
    </row>
    <row r="846" spans="1:5">
      <c r="A846" s="26"/>
      <c r="B846" s="5"/>
      <c r="C846" s="5"/>
      <c r="D846" s="5"/>
      <c r="E846" s="5"/>
    </row>
    <row r="847" spans="1:5">
      <c r="A847" s="26"/>
      <c r="B847" s="5"/>
      <c r="C847" s="5"/>
      <c r="D847" s="5"/>
      <c r="E847" s="5"/>
    </row>
    <row r="848" spans="1:5">
      <c r="A848" s="26"/>
      <c r="B848" s="5"/>
      <c r="C848" s="5"/>
      <c r="D848" s="5"/>
      <c r="E848" s="5"/>
    </row>
    <row r="849" spans="1:5">
      <c r="A849" s="26"/>
      <c r="B849" s="5"/>
      <c r="C849" s="5"/>
      <c r="D849" s="5"/>
      <c r="E849" s="5"/>
    </row>
    <row r="850" spans="1:5">
      <c r="A850" s="26"/>
      <c r="B850" s="5"/>
      <c r="C850" s="5"/>
      <c r="D850" s="5"/>
      <c r="E850" s="5"/>
    </row>
    <row r="851" spans="1:5">
      <c r="A851" s="26"/>
      <c r="B851" s="5"/>
      <c r="C851" s="5"/>
      <c r="D851" s="5"/>
      <c r="E851" s="5"/>
    </row>
    <row r="852" spans="1:5">
      <c r="A852" s="26"/>
      <c r="B852" s="5"/>
      <c r="C852" s="5"/>
      <c r="D852" s="5"/>
      <c r="E852" s="5"/>
    </row>
    <row r="853" spans="1:5">
      <c r="A853" s="26"/>
      <c r="B853" s="5"/>
      <c r="C853" s="5"/>
      <c r="D853" s="5"/>
      <c r="E853" s="5"/>
    </row>
    <row r="854" spans="1:5">
      <c r="A854" s="26"/>
      <c r="B854" s="5"/>
      <c r="C854" s="5"/>
      <c r="D854" s="5"/>
      <c r="E854" s="5"/>
    </row>
    <row r="855" spans="1:5">
      <c r="A855" s="26"/>
      <c r="B855" s="5"/>
      <c r="C855" s="5"/>
      <c r="D855" s="5"/>
      <c r="E855" s="5"/>
    </row>
    <row r="856" spans="1:5">
      <c r="A856" s="26"/>
      <c r="B856" s="5"/>
      <c r="C856" s="5"/>
      <c r="D856" s="5"/>
      <c r="E856" s="5"/>
    </row>
    <row r="857" spans="1:5">
      <c r="A857" s="26"/>
      <c r="B857" s="5"/>
      <c r="C857" s="5"/>
      <c r="D857" s="5"/>
      <c r="E857" s="5"/>
    </row>
    <row r="858" spans="1:5">
      <c r="A858" s="26"/>
      <c r="B858" s="5"/>
      <c r="C858" s="5"/>
      <c r="D858" s="5"/>
      <c r="E858" s="5"/>
    </row>
    <row r="859" spans="1:5">
      <c r="A859" s="26"/>
      <c r="B859" s="5"/>
      <c r="C859" s="5"/>
      <c r="D859" s="5"/>
      <c r="E859" s="5"/>
    </row>
    <row r="860" spans="1:5">
      <c r="A860" s="26"/>
      <c r="B860" s="5"/>
      <c r="C860" s="5"/>
      <c r="D860" s="5"/>
      <c r="E860" s="5"/>
    </row>
    <row r="861" spans="1:5">
      <c r="A861" s="26"/>
      <c r="B861" s="5"/>
      <c r="C861" s="5"/>
      <c r="D861" s="5"/>
      <c r="E861" s="5"/>
    </row>
    <row r="862" spans="1:5">
      <c r="A862" s="26"/>
      <c r="B862" s="5"/>
      <c r="C862" s="5"/>
      <c r="D862" s="5"/>
      <c r="E862" s="5"/>
    </row>
    <row r="863" spans="1:5">
      <c r="A863" s="26"/>
      <c r="B863" s="5"/>
      <c r="C863" s="5"/>
      <c r="D863" s="5"/>
      <c r="E863" s="5"/>
    </row>
    <row r="864" spans="1:5">
      <c r="A864" s="26"/>
      <c r="B864" s="5"/>
      <c r="C864" s="5"/>
      <c r="D864" s="5"/>
      <c r="E864" s="5"/>
    </row>
    <row r="865" spans="1:5">
      <c r="A865" s="26"/>
      <c r="B865" s="5"/>
      <c r="C865" s="5"/>
      <c r="D865" s="5"/>
      <c r="E865" s="5"/>
    </row>
    <row r="866" spans="1:5">
      <c r="A866" s="26"/>
      <c r="B866" s="5"/>
      <c r="C866" s="5"/>
      <c r="D866" s="5"/>
      <c r="E866" s="5"/>
    </row>
    <row r="867" spans="1:5">
      <c r="A867" s="26"/>
      <c r="B867" s="5"/>
      <c r="C867" s="5"/>
      <c r="D867" s="5"/>
      <c r="E867" s="5"/>
    </row>
    <row r="868" spans="1:5">
      <c r="A868" s="26"/>
      <c r="B868" s="5"/>
      <c r="C868" s="5"/>
      <c r="D868" s="5"/>
      <c r="E868" s="5"/>
    </row>
    <row r="869" spans="1:5">
      <c r="A869" s="26"/>
      <c r="B869" s="5"/>
      <c r="C869" s="5"/>
      <c r="D869" s="5"/>
      <c r="E869" s="5"/>
    </row>
    <row r="870" spans="1:5">
      <c r="A870" s="26"/>
      <c r="B870" s="5"/>
      <c r="C870" s="5"/>
      <c r="D870" s="5"/>
      <c r="E870" s="5"/>
    </row>
    <row r="871" spans="1:5">
      <c r="A871" s="26"/>
      <c r="B871" s="5"/>
      <c r="C871" s="5"/>
      <c r="D871" s="5"/>
      <c r="E871" s="5"/>
    </row>
    <row r="872" spans="1:5">
      <c r="A872" s="26"/>
      <c r="B872" s="5"/>
      <c r="C872" s="5"/>
      <c r="D872" s="5"/>
      <c r="E872" s="5"/>
    </row>
    <row r="873" spans="1:5">
      <c r="A873" s="26"/>
      <c r="B873" s="5"/>
      <c r="C873" s="5"/>
      <c r="D873" s="5"/>
      <c r="E873" s="5"/>
    </row>
    <row r="874" spans="1:5">
      <c r="A874" s="26"/>
      <c r="B874" s="5"/>
      <c r="C874" s="5"/>
      <c r="D874" s="5"/>
      <c r="E874" s="5"/>
    </row>
    <row r="875" spans="1:5">
      <c r="A875" s="26"/>
      <c r="B875" s="5"/>
      <c r="C875" s="5"/>
      <c r="D875" s="5"/>
      <c r="E875" s="5"/>
    </row>
    <row r="876" spans="1:5">
      <c r="A876" s="26"/>
      <c r="B876" s="5"/>
      <c r="C876" s="5"/>
      <c r="D876" s="5"/>
      <c r="E876" s="5"/>
    </row>
    <row r="877" spans="1:5">
      <c r="A877" s="26"/>
      <c r="B877" s="5"/>
      <c r="C877" s="5"/>
      <c r="D877" s="5"/>
      <c r="E877" s="5"/>
    </row>
    <row r="878" spans="1:5">
      <c r="A878" s="26"/>
      <c r="B878" s="5"/>
      <c r="C878" s="5"/>
      <c r="D878" s="5"/>
      <c r="E878" s="5"/>
    </row>
    <row r="879" spans="1:5">
      <c r="A879" s="26"/>
      <c r="B879" s="5"/>
      <c r="C879" s="5"/>
      <c r="D879" s="5"/>
      <c r="E879" s="5"/>
    </row>
    <row r="880" spans="1:5">
      <c r="A880" s="26"/>
      <c r="B880" s="5"/>
      <c r="C880" s="5"/>
      <c r="D880" s="5"/>
      <c r="E880" s="5"/>
    </row>
    <row r="881" spans="1:5">
      <c r="A881" s="26"/>
      <c r="B881" s="5"/>
      <c r="C881" s="5"/>
      <c r="D881" s="5"/>
      <c r="E881" s="5"/>
    </row>
    <row r="882" spans="1:5">
      <c r="A882" s="26"/>
      <c r="B882" s="5"/>
      <c r="C882" s="5"/>
      <c r="D882" s="5"/>
      <c r="E882" s="5"/>
    </row>
    <row r="883" spans="1:5">
      <c r="A883" s="26"/>
      <c r="B883" s="5"/>
      <c r="C883" s="5"/>
      <c r="D883" s="5"/>
      <c r="E883" s="5"/>
    </row>
    <row r="884" spans="1:5">
      <c r="A884" s="26"/>
      <c r="B884" s="5"/>
      <c r="C884" s="5"/>
      <c r="D884" s="5"/>
      <c r="E884" s="5"/>
    </row>
    <row r="885" spans="1:5">
      <c r="A885" s="26"/>
      <c r="B885" s="5"/>
      <c r="C885" s="5"/>
      <c r="D885" s="5"/>
      <c r="E885" s="5"/>
    </row>
    <row r="886" spans="1:5">
      <c r="A886" s="26"/>
      <c r="B886" s="5"/>
      <c r="C886" s="5"/>
      <c r="D886" s="5"/>
      <c r="E886" s="5"/>
    </row>
    <row r="887" spans="1:5">
      <c r="A887" s="26"/>
      <c r="B887" s="5"/>
      <c r="C887" s="5"/>
      <c r="D887" s="5"/>
      <c r="E887" s="5"/>
    </row>
    <row r="888" spans="1:5">
      <c r="A888" s="26"/>
      <c r="B888" s="5"/>
      <c r="C888" s="5"/>
      <c r="D888" s="5"/>
      <c r="E888" s="5"/>
    </row>
    <row r="889" spans="1:5">
      <c r="A889" s="26"/>
      <c r="B889" s="5"/>
      <c r="C889" s="5"/>
      <c r="D889" s="5"/>
      <c r="E889" s="5"/>
    </row>
    <row r="890" spans="1:5">
      <c r="A890" s="26"/>
      <c r="B890" s="5"/>
      <c r="C890" s="5"/>
      <c r="D890" s="5"/>
      <c r="E890" s="5"/>
    </row>
    <row r="891" spans="1:5">
      <c r="A891" s="26"/>
      <c r="B891" s="5"/>
      <c r="C891" s="5"/>
      <c r="D891" s="5"/>
      <c r="E891" s="5"/>
    </row>
    <row r="892" spans="1:5">
      <c r="A892" s="26"/>
      <c r="B892" s="5"/>
      <c r="C892" s="5"/>
      <c r="D892" s="5"/>
      <c r="E892" s="5"/>
    </row>
    <row r="893" spans="1:5">
      <c r="A893" s="26"/>
      <c r="B893" s="5"/>
      <c r="C893" s="5"/>
      <c r="D893" s="5"/>
      <c r="E893" s="5"/>
    </row>
    <row r="894" spans="1:5">
      <c r="A894" s="26"/>
      <c r="B894" s="5"/>
      <c r="C894" s="5"/>
      <c r="D894" s="5"/>
      <c r="E894" s="5"/>
    </row>
    <row r="895" spans="1:5">
      <c r="A895" s="26"/>
      <c r="B895" s="5"/>
      <c r="C895" s="5"/>
      <c r="D895" s="5"/>
      <c r="E895" s="5"/>
    </row>
    <row r="896" spans="1:5">
      <c r="A896" s="26"/>
      <c r="B896" s="5"/>
      <c r="C896" s="5"/>
      <c r="D896" s="5"/>
      <c r="E896" s="5"/>
    </row>
    <row r="897" spans="1:5">
      <c r="A897" s="26"/>
      <c r="B897" s="5"/>
      <c r="C897" s="5"/>
      <c r="D897" s="5"/>
      <c r="E897" s="5"/>
    </row>
    <row r="898" spans="1:5">
      <c r="A898" s="26"/>
      <c r="B898" s="5"/>
      <c r="C898" s="5"/>
      <c r="D898" s="5"/>
      <c r="E898" s="5"/>
    </row>
    <row r="899" spans="1:5">
      <c r="A899" s="26"/>
      <c r="B899" s="5"/>
      <c r="C899" s="5"/>
      <c r="D899" s="5"/>
      <c r="E899" s="5"/>
    </row>
    <row r="900" spans="1:5">
      <c r="A900" s="26"/>
      <c r="B900" s="5"/>
      <c r="C900" s="5"/>
      <c r="D900" s="5"/>
      <c r="E900" s="5"/>
    </row>
    <row r="901" spans="1:5">
      <c r="A901" s="26"/>
      <c r="B901" s="5"/>
      <c r="C901" s="5"/>
      <c r="D901" s="5"/>
      <c r="E901" s="5"/>
    </row>
    <row r="902" spans="1:5">
      <c r="A902" s="26"/>
      <c r="B902" s="5"/>
      <c r="C902" s="5"/>
      <c r="D902" s="5"/>
      <c r="E902" s="5"/>
    </row>
    <row r="903" spans="1:5">
      <c r="A903" s="26"/>
      <c r="B903" s="5"/>
      <c r="C903" s="5"/>
      <c r="D903" s="5"/>
      <c r="E903" s="5"/>
    </row>
    <row r="904" spans="1:5">
      <c r="A904" s="26"/>
      <c r="B904" s="5"/>
      <c r="C904" s="5"/>
      <c r="D904" s="5"/>
      <c r="E904" s="5"/>
    </row>
    <row r="905" spans="1:5">
      <c r="A905" s="26"/>
      <c r="B905" s="5"/>
      <c r="C905" s="5"/>
      <c r="D905" s="5"/>
      <c r="E905" s="5"/>
    </row>
    <row r="906" spans="1:5">
      <c r="A906" s="26"/>
      <c r="B906" s="5"/>
      <c r="C906" s="5"/>
      <c r="D906" s="5"/>
      <c r="E906" s="5"/>
    </row>
    <row r="907" spans="1:5">
      <c r="A907" s="26"/>
      <c r="B907" s="5"/>
      <c r="C907" s="5"/>
      <c r="D907" s="5"/>
      <c r="E907" s="5"/>
    </row>
    <row r="908" spans="1:5">
      <c r="A908" s="26"/>
      <c r="B908" s="5"/>
      <c r="C908" s="5"/>
      <c r="D908" s="5"/>
      <c r="E908" s="5"/>
    </row>
    <row r="909" spans="1:5">
      <c r="A909" s="26"/>
      <c r="B909" s="5"/>
      <c r="C909" s="5"/>
      <c r="D909" s="5"/>
      <c r="E909" s="5"/>
    </row>
    <row r="910" spans="1:5">
      <c r="A910" s="26"/>
      <c r="B910" s="5"/>
      <c r="C910" s="5"/>
      <c r="D910" s="5"/>
      <c r="E910" s="5"/>
    </row>
    <row r="911" spans="1:5">
      <c r="A911" s="26"/>
      <c r="B911" s="5"/>
      <c r="C911" s="5"/>
      <c r="D911" s="5"/>
      <c r="E911" s="5"/>
    </row>
    <row r="912" spans="1:5">
      <c r="A912" s="26"/>
      <c r="B912" s="5"/>
      <c r="C912" s="5"/>
      <c r="D912" s="5"/>
      <c r="E912" s="5"/>
    </row>
    <row r="913" spans="1:5">
      <c r="A913" s="26"/>
      <c r="B913" s="5"/>
      <c r="C913" s="5"/>
      <c r="D913" s="5"/>
      <c r="E913" s="5"/>
    </row>
    <row r="914" spans="1:5">
      <c r="A914" s="26"/>
      <c r="B914" s="5"/>
      <c r="C914" s="5"/>
      <c r="D914" s="5"/>
      <c r="E914" s="5"/>
    </row>
    <row r="915" spans="1:5">
      <c r="A915" s="26"/>
      <c r="B915" s="5"/>
      <c r="C915" s="5"/>
      <c r="D915" s="5"/>
      <c r="E915" s="5"/>
    </row>
    <row r="916" spans="1:5">
      <c r="A916" s="26"/>
      <c r="B916" s="5"/>
      <c r="C916" s="5"/>
      <c r="D916" s="5"/>
      <c r="E916" s="5"/>
    </row>
    <row r="917" spans="1:5">
      <c r="A917" s="26"/>
      <c r="B917" s="5"/>
      <c r="C917" s="5"/>
      <c r="D917" s="5"/>
      <c r="E917" s="5"/>
    </row>
    <row r="918" spans="1:5">
      <c r="A918" s="26"/>
      <c r="B918" s="5"/>
      <c r="C918" s="5"/>
      <c r="D918" s="5"/>
      <c r="E918" s="5"/>
    </row>
    <row r="919" spans="1:5">
      <c r="A919" s="26"/>
      <c r="B919" s="5"/>
      <c r="C919" s="5"/>
      <c r="D919" s="5"/>
      <c r="E919" s="5"/>
    </row>
    <row r="920" spans="1:5">
      <c r="A920" s="26"/>
      <c r="B920" s="5"/>
      <c r="C920" s="5"/>
      <c r="D920" s="5"/>
      <c r="E920" s="5"/>
    </row>
    <row r="921" spans="1:5">
      <c r="A921" s="26"/>
      <c r="B921" s="5"/>
      <c r="C921" s="5"/>
      <c r="D921" s="5"/>
      <c r="E921" s="5"/>
    </row>
    <row r="922" spans="1:5">
      <c r="A922" s="26"/>
      <c r="B922" s="5"/>
      <c r="C922" s="5"/>
      <c r="D922" s="5"/>
      <c r="E922" s="5"/>
    </row>
    <row r="923" spans="1:5">
      <c r="A923" s="26"/>
      <c r="B923" s="5"/>
      <c r="C923" s="5"/>
      <c r="D923" s="5"/>
      <c r="E923" s="5"/>
    </row>
    <row r="924" spans="1:5">
      <c r="A924" s="26"/>
      <c r="B924" s="5"/>
      <c r="C924" s="5"/>
      <c r="D924" s="5"/>
      <c r="E924" s="5"/>
    </row>
    <row r="925" spans="1:5">
      <c r="A925" s="26"/>
      <c r="B925" s="5"/>
      <c r="C925" s="5"/>
      <c r="D925" s="5"/>
      <c r="E925" s="5"/>
    </row>
    <row r="926" spans="1:5">
      <c r="A926" s="26"/>
      <c r="B926" s="5"/>
      <c r="C926" s="5"/>
      <c r="D926" s="5"/>
      <c r="E926" s="5"/>
    </row>
    <row r="927" spans="1:5">
      <c r="A927" s="26"/>
      <c r="B927" s="5"/>
      <c r="C927" s="5"/>
      <c r="D927" s="5"/>
      <c r="E927" s="5"/>
    </row>
    <row r="928" spans="1:5">
      <c r="A928" s="26"/>
      <c r="B928" s="5"/>
      <c r="C928" s="5"/>
      <c r="D928" s="5"/>
      <c r="E928" s="5"/>
    </row>
    <row r="929" spans="1:5">
      <c r="A929" s="26"/>
      <c r="B929" s="5"/>
      <c r="C929" s="5"/>
      <c r="D929" s="5"/>
      <c r="E929" s="5"/>
    </row>
    <row r="930" spans="1:5">
      <c r="A930" s="26"/>
      <c r="B930" s="5"/>
      <c r="C930" s="5"/>
      <c r="D930" s="5"/>
      <c r="E930" s="5"/>
    </row>
    <row r="931" spans="1:5">
      <c r="A931" s="26"/>
      <c r="B931" s="5"/>
      <c r="C931" s="5"/>
      <c r="D931" s="5"/>
      <c r="E931" s="5"/>
    </row>
    <row r="932" spans="1:5">
      <c r="A932" s="26"/>
      <c r="B932" s="5"/>
      <c r="C932" s="5"/>
      <c r="D932" s="5"/>
      <c r="E932" s="5"/>
    </row>
    <row r="933" spans="1:5">
      <c r="A933" s="26"/>
      <c r="B933" s="5"/>
      <c r="C933" s="5"/>
      <c r="D933" s="5"/>
      <c r="E933" s="5"/>
    </row>
    <row r="934" spans="1:5">
      <c r="A934" s="26"/>
      <c r="B934" s="5"/>
      <c r="C934" s="5"/>
      <c r="D934" s="5"/>
      <c r="E934" s="5"/>
    </row>
    <row r="935" spans="1:5">
      <c r="A935" s="26"/>
      <c r="B935" s="5"/>
      <c r="C935" s="5"/>
      <c r="D935" s="5"/>
      <c r="E935" s="5"/>
    </row>
    <row r="936" spans="1:5">
      <c r="A936" s="26"/>
      <c r="B936" s="5"/>
      <c r="C936" s="5"/>
      <c r="D936" s="5"/>
      <c r="E936" s="5"/>
    </row>
    <row r="937" spans="1:5">
      <c r="A937" s="26"/>
      <c r="B937" s="5"/>
      <c r="C937" s="5"/>
      <c r="D937" s="5"/>
      <c r="E937" s="5"/>
    </row>
    <row r="938" spans="1:5">
      <c r="A938" s="26"/>
      <c r="B938" s="5"/>
      <c r="C938" s="5"/>
      <c r="D938" s="5"/>
      <c r="E938" s="5"/>
    </row>
    <row r="939" spans="1:5">
      <c r="A939" s="26"/>
      <c r="B939" s="5"/>
      <c r="C939" s="5"/>
      <c r="D939" s="5"/>
      <c r="E939" s="5"/>
    </row>
    <row r="940" spans="1:5">
      <c r="A940" s="26"/>
      <c r="B940" s="5"/>
      <c r="C940" s="5"/>
      <c r="D940" s="5"/>
      <c r="E940" s="5"/>
    </row>
    <row r="941" spans="1:5">
      <c r="A941" s="26"/>
      <c r="B941" s="5"/>
      <c r="C941" s="5"/>
      <c r="D941" s="5"/>
      <c r="E941" s="5"/>
    </row>
    <row r="942" spans="1:5">
      <c r="A942" s="26"/>
      <c r="B942" s="5"/>
      <c r="C942" s="5"/>
      <c r="D942" s="5"/>
      <c r="E942" s="5"/>
    </row>
    <row r="943" spans="1:5">
      <c r="A943" s="26"/>
      <c r="B943" s="5"/>
      <c r="C943" s="5"/>
      <c r="D943" s="5"/>
      <c r="E943" s="5"/>
    </row>
    <row r="944" spans="1:5">
      <c r="A944" s="26"/>
      <c r="B944" s="5"/>
      <c r="C944" s="5"/>
      <c r="D944" s="5"/>
      <c r="E944" s="5"/>
    </row>
    <row r="945" spans="1:5">
      <c r="A945" s="26"/>
      <c r="B945" s="5"/>
      <c r="C945" s="5"/>
      <c r="D945" s="5"/>
      <c r="E945" s="5"/>
    </row>
    <row r="946" spans="1:5">
      <c r="A946" s="26"/>
      <c r="B946" s="5"/>
      <c r="C946" s="5"/>
      <c r="D946" s="5"/>
      <c r="E946" s="5"/>
    </row>
    <row r="947" spans="1:5">
      <c r="A947" s="26"/>
      <c r="B947" s="5"/>
      <c r="C947" s="5"/>
      <c r="D947" s="5"/>
      <c r="E947" s="5"/>
    </row>
    <row r="948" spans="1:5">
      <c r="A948" s="26"/>
      <c r="B948" s="5"/>
      <c r="C948" s="5"/>
      <c r="D948" s="5"/>
      <c r="E948" s="5"/>
    </row>
    <row r="949" spans="1:5">
      <c r="A949" s="26"/>
      <c r="B949" s="5"/>
      <c r="C949" s="5"/>
      <c r="D949" s="5"/>
      <c r="E949" s="5"/>
    </row>
    <row r="950" spans="1:5">
      <c r="A950" s="26"/>
      <c r="B950" s="5"/>
      <c r="C950" s="5"/>
      <c r="D950" s="5"/>
      <c r="E950" s="5"/>
    </row>
    <row r="951" spans="1:5">
      <c r="A951" s="26"/>
      <c r="B951" s="5"/>
      <c r="C951" s="5"/>
      <c r="D951" s="5"/>
      <c r="E951" s="5"/>
    </row>
    <row r="952" spans="1:5">
      <c r="A952" s="26"/>
      <c r="B952" s="5"/>
      <c r="C952" s="5"/>
      <c r="D952" s="5"/>
      <c r="E952" s="5"/>
    </row>
    <row r="953" spans="1:5">
      <c r="A953" s="26"/>
      <c r="B953" s="5"/>
      <c r="C953" s="5"/>
      <c r="D953" s="5"/>
      <c r="E953" s="5"/>
    </row>
    <row r="954" spans="1:5">
      <c r="A954" s="26"/>
      <c r="B954" s="5"/>
      <c r="C954" s="5"/>
      <c r="D954" s="5"/>
      <c r="E954" s="5"/>
    </row>
    <row r="955" spans="1:5">
      <c r="A955" s="26"/>
      <c r="B955" s="5"/>
      <c r="C955" s="5"/>
      <c r="D955" s="5"/>
      <c r="E955" s="5"/>
    </row>
    <row r="956" spans="1:5">
      <c r="A956" s="26"/>
      <c r="B956" s="5"/>
      <c r="C956" s="5"/>
      <c r="D956" s="5"/>
      <c r="E956" s="5"/>
    </row>
    <row r="957" spans="1:5">
      <c r="A957" s="26"/>
      <c r="B957" s="5"/>
      <c r="C957" s="5"/>
      <c r="D957" s="5"/>
      <c r="E957" s="5"/>
    </row>
    <row r="958" spans="1:5">
      <c r="A958" s="26"/>
      <c r="B958" s="5"/>
      <c r="C958" s="5"/>
      <c r="D958" s="5"/>
      <c r="E958" s="5"/>
    </row>
    <row r="959" spans="1:5">
      <c r="A959" s="26"/>
      <c r="B959" s="5"/>
      <c r="C959" s="5"/>
      <c r="D959" s="5"/>
      <c r="E959" s="5"/>
    </row>
    <row r="960" spans="1:5">
      <c r="A960" s="26"/>
      <c r="B960" s="5"/>
      <c r="C960" s="5"/>
      <c r="D960" s="5"/>
      <c r="E960" s="5"/>
    </row>
    <row r="961" spans="1:5">
      <c r="A961" s="26"/>
      <c r="B961" s="5"/>
      <c r="C961" s="5"/>
      <c r="D961" s="5"/>
      <c r="E961" s="5"/>
    </row>
    <row r="962" spans="1:5">
      <c r="A962" s="26"/>
      <c r="B962" s="5"/>
      <c r="C962" s="5"/>
      <c r="D962" s="5"/>
      <c r="E962" s="5"/>
    </row>
    <row r="963" spans="1:5">
      <c r="A963" s="26"/>
      <c r="B963" s="5"/>
      <c r="C963" s="5"/>
      <c r="D963" s="5"/>
      <c r="E963" s="5"/>
    </row>
    <row r="964" spans="1:5">
      <c r="A964" s="26"/>
      <c r="B964" s="5"/>
      <c r="C964" s="5"/>
      <c r="D964" s="5"/>
      <c r="E964" s="5"/>
    </row>
    <row r="965" spans="1:5">
      <c r="A965" s="26"/>
      <c r="B965" s="5"/>
      <c r="C965" s="5"/>
      <c r="D965" s="5"/>
      <c r="E965" s="5"/>
    </row>
    <row r="966" spans="1:5">
      <c r="A966" s="26"/>
      <c r="B966" s="5"/>
      <c r="C966" s="5"/>
      <c r="D966" s="5"/>
      <c r="E966" s="5"/>
    </row>
    <row r="967" spans="1:5">
      <c r="A967" s="26"/>
      <c r="B967" s="5"/>
      <c r="C967" s="5"/>
      <c r="D967" s="5"/>
      <c r="E967" s="5"/>
    </row>
    <row r="968" spans="1:5">
      <c r="A968" s="26"/>
      <c r="B968" s="5"/>
      <c r="C968" s="5"/>
      <c r="D968" s="5"/>
      <c r="E968" s="5"/>
    </row>
    <row r="969" spans="1:5">
      <c r="A969" s="26"/>
      <c r="B969" s="5"/>
      <c r="C969" s="5"/>
      <c r="D969" s="5"/>
      <c r="E969" s="5"/>
    </row>
    <row r="970" spans="1:5">
      <c r="A970" s="26"/>
      <c r="B970" s="5"/>
      <c r="C970" s="5"/>
      <c r="D970" s="5"/>
      <c r="E970" s="5"/>
    </row>
    <row r="971" spans="1:5">
      <c r="A971" s="26"/>
      <c r="B971" s="5"/>
      <c r="C971" s="5"/>
      <c r="D971" s="5"/>
      <c r="E971" s="5"/>
    </row>
    <row r="972" spans="1:5">
      <c r="A972" s="26"/>
      <c r="B972" s="5"/>
      <c r="C972" s="5"/>
      <c r="D972" s="5"/>
      <c r="E972" s="5"/>
    </row>
    <row r="973" spans="1:5">
      <c r="A973" s="26"/>
      <c r="B973" s="5"/>
      <c r="C973" s="5"/>
      <c r="D973" s="5"/>
      <c r="E973" s="5"/>
    </row>
    <row r="974" spans="1:5">
      <c r="A974" s="26"/>
      <c r="B974" s="5"/>
      <c r="C974" s="5"/>
      <c r="D974" s="5"/>
      <c r="E974" s="5"/>
    </row>
    <row r="975" spans="1:5">
      <c r="A975" s="26"/>
      <c r="B975" s="5"/>
      <c r="C975" s="5"/>
      <c r="D975" s="5"/>
      <c r="E975" s="5"/>
    </row>
    <row r="976" spans="1:5">
      <c r="A976" s="26"/>
      <c r="B976" s="5"/>
      <c r="C976" s="5"/>
      <c r="D976" s="5"/>
      <c r="E976" s="5"/>
    </row>
    <row r="977" spans="1:5">
      <c r="A977" s="26"/>
      <c r="B977" s="5"/>
      <c r="C977" s="5"/>
      <c r="D977" s="5"/>
      <c r="E977" s="5"/>
    </row>
  </sheetData>
  <autoFilter ref="A8:I821"/>
  <mergeCells count="12">
    <mergeCell ref="G6:G7"/>
    <mergeCell ref="H6:H7"/>
    <mergeCell ref="I6:I7"/>
    <mergeCell ref="A3:I3"/>
    <mergeCell ref="A5:I5"/>
    <mergeCell ref="A823:F823"/>
    <mergeCell ref="A6:A7"/>
    <mergeCell ref="B6:B7"/>
    <mergeCell ref="C6:C7"/>
    <mergeCell ref="D6:D7"/>
    <mergeCell ref="E6:E7"/>
    <mergeCell ref="F6:F7"/>
  </mergeCells>
  <phoneticPr fontId="2" type="noConversion"/>
  <pageMargins left="0.39370078740157483" right="0.39370078740157483" top="0.39370078740157483" bottom="0.39370078740157483" header="0.39370078740157483" footer="0"/>
  <pageSetup paperSize="9" scale="77" orientation="landscape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2:I1113"/>
  <sheetViews>
    <sheetView view="pageBreakPreview" topLeftCell="A907" zoomScale="150" zoomScaleNormal="150" zoomScaleSheetLayoutView="150" workbookViewId="0">
      <selection activeCell="A1054" sqref="A1054:XFD1055"/>
    </sheetView>
  </sheetViews>
  <sheetFormatPr defaultRowHeight="12.75"/>
  <cols>
    <col min="1" max="1" width="65.42578125" style="4" customWidth="1"/>
    <col min="2" max="2" width="13.28515625" style="4" customWidth="1"/>
    <col min="3" max="3" width="8.7109375" style="5" customWidth="1"/>
    <col min="4" max="4" width="8" style="5" customWidth="1"/>
    <col min="5" max="5" width="8.28515625" style="5" customWidth="1"/>
    <col min="6" max="6" width="12.5703125" customWidth="1"/>
    <col min="7" max="7" width="11.85546875" customWidth="1"/>
    <col min="8" max="8" width="11.28515625" customWidth="1"/>
    <col min="9" max="9" width="7.42578125" customWidth="1"/>
  </cols>
  <sheetData>
    <row r="2" spans="1:9" ht="12.75" customHeight="1">
      <c r="A2" s="369" t="s">
        <v>781</v>
      </c>
      <c r="B2" s="369"/>
      <c r="C2" s="369"/>
      <c r="D2" s="369"/>
      <c r="E2" s="369"/>
      <c r="F2" s="369"/>
      <c r="G2" s="369"/>
      <c r="H2" s="369"/>
      <c r="I2" s="369"/>
    </row>
    <row r="3" spans="1:9" ht="16.5" customHeight="1">
      <c r="A3" s="369"/>
      <c r="B3" s="369"/>
      <c r="C3" s="369"/>
      <c r="D3" s="369"/>
      <c r="E3" s="369"/>
      <c r="F3" s="369"/>
      <c r="G3" s="369"/>
      <c r="H3" s="369"/>
      <c r="I3" s="369"/>
    </row>
    <row r="4" spans="1:9" ht="14.25">
      <c r="A4" s="370" t="s">
        <v>796</v>
      </c>
      <c r="B4" s="370"/>
      <c r="C4" s="370"/>
      <c r="D4" s="370"/>
      <c r="E4" s="370"/>
      <c r="F4" s="370"/>
      <c r="G4" s="370"/>
      <c r="H4" s="370"/>
      <c r="I4" s="370"/>
    </row>
    <row r="5" spans="1:9">
      <c r="A5" s="368" t="s">
        <v>410</v>
      </c>
      <c r="B5" s="368"/>
      <c r="C5" s="368"/>
      <c r="D5" s="368"/>
      <c r="E5" s="368"/>
      <c r="F5" s="368"/>
      <c r="G5" s="368"/>
      <c r="H5" s="368"/>
      <c r="I5" s="368"/>
    </row>
    <row r="6" spans="1:9" ht="38.25" customHeight="1">
      <c r="A6" s="263" t="s">
        <v>99</v>
      </c>
      <c r="B6" s="268" t="s">
        <v>381</v>
      </c>
      <c r="C6" s="268" t="s">
        <v>33</v>
      </c>
      <c r="D6" s="268" t="s">
        <v>32</v>
      </c>
      <c r="E6" s="268" t="s">
        <v>101</v>
      </c>
      <c r="F6" s="28" t="s">
        <v>778</v>
      </c>
      <c r="G6" s="318" t="s">
        <v>779</v>
      </c>
      <c r="H6" s="318" t="s">
        <v>780</v>
      </c>
      <c r="I6" s="317" t="s">
        <v>777</v>
      </c>
    </row>
    <row r="7" spans="1:9" ht="14.25" customHeight="1">
      <c r="A7" s="185" t="s">
        <v>709</v>
      </c>
      <c r="B7" s="269"/>
      <c r="C7" s="269"/>
      <c r="D7" s="269"/>
      <c r="E7" s="269"/>
      <c r="F7" s="186">
        <f>F8+F56+F62+F144+F228+F274+F281+F408+F502+F633+F734+F768+F775+F786</f>
        <v>6186059.6498899991</v>
      </c>
      <c r="G7" s="186">
        <f>G8+G56+G62+G144+G228+G274+G281+G408+G502+G633+G734+G768+G775+G786</f>
        <v>4646803.526048</v>
      </c>
      <c r="H7" s="186">
        <f>H8+H56+H62+H144+H228+H274+H281+H408+H502+H633+H734+H768+H775+H786</f>
        <v>6068337.8039099984</v>
      </c>
      <c r="I7" s="186">
        <f t="shared" ref="I7:I70" si="0">H7/F7*100</f>
        <v>98.096981719500647</v>
      </c>
    </row>
    <row r="8" spans="1:9" s="7" customFormat="1" ht="15">
      <c r="A8" s="138" t="s">
        <v>526</v>
      </c>
      <c r="B8" s="184" t="s">
        <v>191</v>
      </c>
      <c r="C8" s="137"/>
      <c r="D8" s="137"/>
      <c r="E8" s="147"/>
      <c r="F8" s="136">
        <f>F9+F45</f>
        <v>41333</v>
      </c>
      <c r="G8" s="283">
        <f>G9+G45</f>
        <v>26914.68175</v>
      </c>
      <c r="H8" s="136">
        <f>H9+H45</f>
        <v>40895.199999999997</v>
      </c>
      <c r="I8" s="136">
        <f t="shared" si="0"/>
        <v>98.940797909660546</v>
      </c>
    </row>
    <row r="9" spans="1:9" s="51" customFormat="1" ht="27">
      <c r="A9" s="92" t="s">
        <v>53</v>
      </c>
      <c r="B9" s="93" t="s">
        <v>152</v>
      </c>
      <c r="C9" s="61"/>
      <c r="D9" s="61"/>
      <c r="E9" s="91"/>
      <c r="F9" s="62">
        <f>F10+F15+F20+F25+F30+F35+F40</f>
        <v>39583</v>
      </c>
      <c r="G9" s="303">
        <f>G10+G15+G20+G25+G30+G35+G40</f>
        <v>26806.494749999998</v>
      </c>
      <c r="H9" s="62">
        <f>H10+H15+H20+H25+H30+H35+H40</f>
        <v>39145.199999999997</v>
      </c>
      <c r="I9" s="62">
        <f t="shared" si="0"/>
        <v>98.893969633428483</v>
      </c>
    </row>
    <row r="10" spans="1:9" s="51" customFormat="1" ht="12">
      <c r="A10" s="85" t="s">
        <v>527</v>
      </c>
      <c r="B10" s="86" t="s">
        <v>528</v>
      </c>
      <c r="C10" s="59"/>
      <c r="D10" s="59"/>
      <c r="E10" s="94"/>
      <c r="F10" s="60">
        <f t="shared" ref="F10:H13" si="1">F11</f>
        <v>2210</v>
      </c>
      <c r="G10" s="282">
        <f t="shared" si="1"/>
        <v>923.52499999999998</v>
      </c>
      <c r="H10" s="60">
        <f t="shared" si="1"/>
        <v>1772.2</v>
      </c>
      <c r="I10" s="60">
        <f t="shared" si="0"/>
        <v>80.190045248868785</v>
      </c>
    </row>
    <row r="11" spans="1:9" s="51" customFormat="1" ht="12">
      <c r="A11" s="85" t="s">
        <v>103</v>
      </c>
      <c r="B11" s="86" t="s">
        <v>528</v>
      </c>
      <c r="C11" s="59" t="s">
        <v>69</v>
      </c>
      <c r="D11" s="59"/>
      <c r="E11" s="94"/>
      <c r="F11" s="60">
        <f t="shared" si="1"/>
        <v>2210</v>
      </c>
      <c r="G11" s="282">
        <f t="shared" si="1"/>
        <v>923.52499999999998</v>
      </c>
      <c r="H11" s="60">
        <f t="shared" si="1"/>
        <v>1772.2</v>
      </c>
      <c r="I11" s="60">
        <f t="shared" si="0"/>
        <v>80.190045248868785</v>
      </c>
    </row>
    <row r="12" spans="1:9" s="51" customFormat="1" ht="12">
      <c r="A12" s="85" t="s">
        <v>285</v>
      </c>
      <c r="B12" s="86" t="s">
        <v>528</v>
      </c>
      <c r="C12" s="59" t="s">
        <v>69</v>
      </c>
      <c r="D12" s="59" t="s">
        <v>86</v>
      </c>
      <c r="E12" s="94"/>
      <c r="F12" s="60">
        <f t="shared" si="1"/>
        <v>2210</v>
      </c>
      <c r="G12" s="282">
        <f t="shared" si="1"/>
        <v>923.52499999999998</v>
      </c>
      <c r="H12" s="60">
        <f t="shared" si="1"/>
        <v>1772.2</v>
      </c>
      <c r="I12" s="60">
        <f t="shared" si="0"/>
        <v>80.190045248868785</v>
      </c>
    </row>
    <row r="13" spans="1:9" s="51" customFormat="1" ht="24">
      <c r="A13" s="65" t="s">
        <v>486</v>
      </c>
      <c r="B13" s="76" t="s">
        <v>528</v>
      </c>
      <c r="C13" s="66" t="s">
        <v>69</v>
      </c>
      <c r="D13" s="66" t="s">
        <v>86</v>
      </c>
      <c r="E13" s="81">
        <v>200</v>
      </c>
      <c r="F13" s="67">
        <f t="shared" si="1"/>
        <v>2210</v>
      </c>
      <c r="G13" s="280">
        <f t="shared" si="1"/>
        <v>923.52499999999998</v>
      </c>
      <c r="H13" s="67">
        <f t="shared" si="1"/>
        <v>1772.2</v>
      </c>
      <c r="I13" s="67">
        <f t="shared" si="0"/>
        <v>80.190045248868785</v>
      </c>
    </row>
    <row r="14" spans="1:9" s="51" customFormat="1" ht="24">
      <c r="A14" s="65" t="s">
        <v>78</v>
      </c>
      <c r="B14" s="76" t="s">
        <v>528</v>
      </c>
      <c r="C14" s="66" t="s">
        <v>69</v>
      </c>
      <c r="D14" s="66" t="s">
        <v>86</v>
      </c>
      <c r="E14" s="81">
        <v>240</v>
      </c>
      <c r="F14" s="67">
        <v>2210</v>
      </c>
      <c r="G14" s="280">
        <v>923.52499999999998</v>
      </c>
      <c r="H14" s="67">
        <f>2210-437.8</f>
        <v>1772.2</v>
      </c>
      <c r="I14" s="67">
        <f t="shared" si="0"/>
        <v>80.190045248868785</v>
      </c>
    </row>
    <row r="15" spans="1:9" s="51" customFormat="1" ht="24">
      <c r="A15" s="85" t="s">
        <v>529</v>
      </c>
      <c r="B15" s="86" t="s">
        <v>530</v>
      </c>
      <c r="C15" s="59"/>
      <c r="D15" s="59"/>
      <c r="E15" s="81"/>
      <c r="F15" s="60">
        <f t="shared" ref="F15:H18" si="2">F16</f>
        <v>900</v>
      </c>
      <c r="G15" s="282">
        <f t="shared" si="2"/>
        <v>484.68875000000003</v>
      </c>
      <c r="H15" s="60">
        <f t="shared" si="2"/>
        <v>900</v>
      </c>
      <c r="I15" s="60">
        <f t="shared" si="0"/>
        <v>100</v>
      </c>
    </row>
    <row r="16" spans="1:9" s="51" customFormat="1" ht="12">
      <c r="A16" s="85" t="s">
        <v>103</v>
      </c>
      <c r="B16" s="86" t="s">
        <v>530</v>
      </c>
      <c r="C16" s="59" t="s">
        <v>69</v>
      </c>
      <c r="D16" s="59"/>
      <c r="E16" s="81"/>
      <c r="F16" s="60">
        <f t="shared" si="2"/>
        <v>900</v>
      </c>
      <c r="G16" s="282">
        <f t="shared" si="2"/>
        <v>484.68875000000003</v>
      </c>
      <c r="H16" s="60">
        <f t="shared" si="2"/>
        <v>900</v>
      </c>
      <c r="I16" s="60">
        <f t="shared" si="0"/>
        <v>100</v>
      </c>
    </row>
    <row r="17" spans="1:9" s="51" customFormat="1" ht="12">
      <c r="A17" s="85" t="s">
        <v>285</v>
      </c>
      <c r="B17" s="86" t="s">
        <v>530</v>
      </c>
      <c r="C17" s="59" t="s">
        <v>69</v>
      </c>
      <c r="D17" s="59" t="s">
        <v>86</v>
      </c>
      <c r="E17" s="81"/>
      <c r="F17" s="60">
        <f t="shared" si="2"/>
        <v>900</v>
      </c>
      <c r="G17" s="282">
        <f t="shared" si="2"/>
        <v>484.68875000000003</v>
      </c>
      <c r="H17" s="60">
        <f t="shared" si="2"/>
        <v>900</v>
      </c>
      <c r="I17" s="60">
        <f t="shared" si="0"/>
        <v>100</v>
      </c>
    </row>
    <row r="18" spans="1:9" s="51" customFormat="1" ht="24">
      <c r="A18" s="65" t="s">
        <v>486</v>
      </c>
      <c r="B18" s="76" t="s">
        <v>530</v>
      </c>
      <c r="C18" s="66" t="s">
        <v>69</v>
      </c>
      <c r="D18" s="66" t="s">
        <v>86</v>
      </c>
      <c r="E18" s="81">
        <v>200</v>
      </c>
      <c r="F18" s="67">
        <f t="shared" si="2"/>
        <v>900</v>
      </c>
      <c r="G18" s="280">
        <f t="shared" si="2"/>
        <v>484.68875000000003</v>
      </c>
      <c r="H18" s="67">
        <f t="shared" si="2"/>
        <v>900</v>
      </c>
      <c r="I18" s="67">
        <f t="shared" si="0"/>
        <v>100</v>
      </c>
    </row>
    <row r="19" spans="1:9" s="51" customFormat="1" ht="24">
      <c r="A19" s="65" t="s">
        <v>78</v>
      </c>
      <c r="B19" s="76" t="s">
        <v>530</v>
      </c>
      <c r="C19" s="66" t="s">
        <v>69</v>
      </c>
      <c r="D19" s="66" t="s">
        <v>86</v>
      </c>
      <c r="E19" s="81">
        <v>240</v>
      </c>
      <c r="F19" s="67">
        <v>900</v>
      </c>
      <c r="G19" s="280">
        <v>484.68875000000003</v>
      </c>
      <c r="H19" s="67">
        <v>900</v>
      </c>
      <c r="I19" s="67">
        <f t="shared" si="0"/>
        <v>100</v>
      </c>
    </row>
    <row r="20" spans="1:9" s="51" customFormat="1" ht="24">
      <c r="A20" s="85" t="s">
        <v>532</v>
      </c>
      <c r="B20" s="86" t="s">
        <v>531</v>
      </c>
      <c r="C20" s="59"/>
      <c r="D20" s="59"/>
      <c r="E20" s="81"/>
      <c r="F20" s="60">
        <f t="shared" ref="F20:H23" si="3">F21</f>
        <v>4160</v>
      </c>
      <c r="G20" s="282">
        <f t="shared" si="3"/>
        <v>2878.1370000000002</v>
      </c>
      <c r="H20" s="60">
        <f t="shared" si="3"/>
        <v>4160</v>
      </c>
      <c r="I20" s="60">
        <f t="shared" si="0"/>
        <v>100</v>
      </c>
    </row>
    <row r="21" spans="1:9" s="51" customFormat="1" ht="12">
      <c r="A21" s="85" t="s">
        <v>103</v>
      </c>
      <c r="B21" s="86" t="s">
        <v>531</v>
      </c>
      <c r="C21" s="59" t="s">
        <v>69</v>
      </c>
      <c r="D21" s="59"/>
      <c r="E21" s="81"/>
      <c r="F21" s="60">
        <f t="shared" si="3"/>
        <v>4160</v>
      </c>
      <c r="G21" s="282">
        <f t="shared" si="3"/>
        <v>2878.1370000000002</v>
      </c>
      <c r="H21" s="60">
        <f t="shared" si="3"/>
        <v>4160</v>
      </c>
      <c r="I21" s="60">
        <f t="shared" si="0"/>
        <v>100</v>
      </c>
    </row>
    <row r="22" spans="1:9" s="51" customFormat="1" ht="12">
      <c r="A22" s="85" t="s">
        <v>285</v>
      </c>
      <c r="B22" s="86" t="s">
        <v>531</v>
      </c>
      <c r="C22" s="59" t="s">
        <v>69</v>
      </c>
      <c r="D22" s="59" t="s">
        <v>86</v>
      </c>
      <c r="E22" s="81"/>
      <c r="F22" s="60">
        <f t="shared" si="3"/>
        <v>4160</v>
      </c>
      <c r="G22" s="282">
        <f t="shared" si="3"/>
        <v>2878.1370000000002</v>
      </c>
      <c r="H22" s="60">
        <f t="shared" si="3"/>
        <v>4160</v>
      </c>
      <c r="I22" s="60">
        <f t="shared" si="0"/>
        <v>100</v>
      </c>
    </row>
    <row r="23" spans="1:9" s="51" customFormat="1" ht="24">
      <c r="A23" s="65" t="s">
        <v>486</v>
      </c>
      <c r="B23" s="76" t="s">
        <v>531</v>
      </c>
      <c r="C23" s="66" t="s">
        <v>69</v>
      </c>
      <c r="D23" s="66" t="s">
        <v>86</v>
      </c>
      <c r="E23" s="81">
        <v>200</v>
      </c>
      <c r="F23" s="67">
        <f t="shared" si="3"/>
        <v>4160</v>
      </c>
      <c r="G23" s="280">
        <f t="shared" si="3"/>
        <v>2878.1370000000002</v>
      </c>
      <c r="H23" s="67">
        <f t="shared" si="3"/>
        <v>4160</v>
      </c>
      <c r="I23" s="67">
        <f t="shared" si="0"/>
        <v>100</v>
      </c>
    </row>
    <row r="24" spans="1:9" s="51" customFormat="1" ht="24">
      <c r="A24" s="65" t="s">
        <v>78</v>
      </c>
      <c r="B24" s="76" t="s">
        <v>531</v>
      </c>
      <c r="C24" s="66" t="s">
        <v>69</v>
      </c>
      <c r="D24" s="66" t="s">
        <v>86</v>
      </c>
      <c r="E24" s="81">
        <v>240</v>
      </c>
      <c r="F24" s="67">
        <v>4160</v>
      </c>
      <c r="G24" s="280">
        <v>2878.1370000000002</v>
      </c>
      <c r="H24" s="67">
        <v>4160</v>
      </c>
      <c r="I24" s="67">
        <f t="shared" si="0"/>
        <v>100</v>
      </c>
    </row>
    <row r="25" spans="1:9" s="51" customFormat="1" ht="24">
      <c r="A25" s="85" t="s">
        <v>533</v>
      </c>
      <c r="B25" s="86" t="s">
        <v>534</v>
      </c>
      <c r="C25" s="59"/>
      <c r="D25" s="59"/>
      <c r="E25" s="81"/>
      <c r="F25" s="60">
        <f t="shared" ref="F25:H28" si="4">F26</f>
        <v>2431</v>
      </c>
      <c r="G25" s="282">
        <f t="shared" si="4"/>
        <v>1822.9949999999999</v>
      </c>
      <c r="H25" s="60">
        <f t="shared" si="4"/>
        <v>2431</v>
      </c>
      <c r="I25" s="60">
        <f t="shared" si="0"/>
        <v>100</v>
      </c>
    </row>
    <row r="26" spans="1:9" s="51" customFormat="1" ht="12">
      <c r="A26" s="85" t="s">
        <v>103</v>
      </c>
      <c r="B26" s="86" t="s">
        <v>534</v>
      </c>
      <c r="C26" s="59" t="s">
        <v>69</v>
      </c>
      <c r="D26" s="59"/>
      <c r="E26" s="81"/>
      <c r="F26" s="60">
        <f t="shared" si="4"/>
        <v>2431</v>
      </c>
      <c r="G26" s="282">
        <f t="shared" si="4"/>
        <v>1822.9949999999999</v>
      </c>
      <c r="H26" s="60">
        <f t="shared" si="4"/>
        <v>2431</v>
      </c>
      <c r="I26" s="60">
        <f t="shared" si="0"/>
        <v>100</v>
      </c>
    </row>
    <row r="27" spans="1:9" s="51" customFormat="1" ht="12">
      <c r="A27" s="85" t="s">
        <v>285</v>
      </c>
      <c r="B27" s="86" t="s">
        <v>534</v>
      </c>
      <c r="C27" s="59" t="s">
        <v>69</v>
      </c>
      <c r="D27" s="59" t="s">
        <v>86</v>
      </c>
      <c r="E27" s="81"/>
      <c r="F27" s="60">
        <f t="shared" si="4"/>
        <v>2431</v>
      </c>
      <c r="G27" s="282">
        <f t="shared" si="4"/>
        <v>1822.9949999999999</v>
      </c>
      <c r="H27" s="60">
        <f t="shared" si="4"/>
        <v>2431</v>
      </c>
      <c r="I27" s="60">
        <f t="shared" si="0"/>
        <v>100</v>
      </c>
    </row>
    <row r="28" spans="1:9" s="51" customFormat="1" ht="24">
      <c r="A28" s="65" t="s">
        <v>486</v>
      </c>
      <c r="B28" s="76" t="s">
        <v>534</v>
      </c>
      <c r="C28" s="66" t="s">
        <v>69</v>
      </c>
      <c r="D28" s="66" t="s">
        <v>86</v>
      </c>
      <c r="E28" s="81">
        <v>200</v>
      </c>
      <c r="F28" s="67">
        <f t="shared" si="4"/>
        <v>2431</v>
      </c>
      <c r="G28" s="280">
        <f t="shared" si="4"/>
        <v>1822.9949999999999</v>
      </c>
      <c r="H28" s="67">
        <f t="shared" si="4"/>
        <v>2431</v>
      </c>
      <c r="I28" s="67">
        <f t="shared" si="0"/>
        <v>100</v>
      </c>
    </row>
    <row r="29" spans="1:9" s="51" customFormat="1" ht="24">
      <c r="A29" s="65" t="s">
        <v>78</v>
      </c>
      <c r="B29" s="76" t="s">
        <v>534</v>
      </c>
      <c r="C29" s="66" t="s">
        <v>69</v>
      </c>
      <c r="D29" s="66" t="s">
        <v>86</v>
      </c>
      <c r="E29" s="81">
        <v>240</v>
      </c>
      <c r="F29" s="67">
        <v>2431</v>
      </c>
      <c r="G29" s="280">
        <v>1822.9949999999999</v>
      </c>
      <c r="H29" s="67">
        <v>2431</v>
      </c>
      <c r="I29" s="67">
        <f t="shared" si="0"/>
        <v>100</v>
      </c>
    </row>
    <row r="30" spans="1:9" s="51" customFormat="1" ht="24">
      <c r="A30" s="85" t="s">
        <v>224</v>
      </c>
      <c r="B30" s="86" t="s">
        <v>535</v>
      </c>
      <c r="C30" s="59"/>
      <c r="D30" s="59"/>
      <c r="E30" s="81"/>
      <c r="F30" s="78">
        <f t="shared" ref="F30:H33" si="5">F31</f>
        <v>2850</v>
      </c>
      <c r="G30" s="273">
        <f t="shared" si="5"/>
        <v>1178.92</v>
      </c>
      <c r="H30" s="78">
        <f t="shared" si="5"/>
        <v>2850</v>
      </c>
      <c r="I30" s="60">
        <f t="shared" si="0"/>
        <v>100</v>
      </c>
    </row>
    <row r="31" spans="1:9" s="51" customFormat="1" ht="12">
      <c r="A31" s="85" t="s">
        <v>103</v>
      </c>
      <c r="B31" s="86" t="s">
        <v>535</v>
      </c>
      <c r="C31" s="59" t="s">
        <v>69</v>
      </c>
      <c r="D31" s="59"/>
      <c r="E31" s="81"/>
      <c r="F31" s="78">
        <f t="shared" si="5"/>
        <v>2850</v>
      </c>
      <c r="G31" s="273">
        <f t="shared" si="5"/>
        <v>1178.92</v>
      </c>
      <c r="H31" s="78">
        <f t="shared" si="5"/>
        <v>2850</v>
      </c>
      <c r="I31" s="60">
        <f t="shared" si="0"/>
        <v>100</v>
      </c>
    </row>
    <row r="32" spans="1:9" s="51" customFormat="1" ht="12">
      <c r="A32" s="85" t="s">
        <v>285</v>
      </c>
      <c r="B32" s="86" t="s">
        <v>535</v>
      </c>
      <c r="C32" s="59" t="s">
        <v>69</v>
      </c>
      <c r="D32" s="59" t="s">
        <v>86</v>
      </c>
      <c r="E32" s="81"/>
      <c r="F32" s="78">
        <f t="shared" si="5"/>
        <v>2850</v>
      </c>
      <c r="G32" s="273">
        <f t="shared" si="5"/>
        <v>1178.92</v>
      </c>
      <c r="H32" s="78">
        <f t="shared" si="5"/>
        <v>2850</v>
      </c>
      <c r="I32" s="60">
        <f t="shared" si="0"/>
        <v>100</v>
      </c>
    </row>
    <row r="33" spans="1:9" s="51" customFormat="1" ht="24">
      <c r="A33" s="65" t="s">
        <v>486</v>
      </c>
      <c r="B33" s="76" t="s">
        <v>535</v>
      </c>
      <c r="C33" s="66" t="s">
        <v>69</v>
      </c>
      <c r="D33" s="66" t="s">
        <v>86</v>
      </c>
      <c r="E33" s="81">
        <v>200</v>
      </c>
      <c r="F33" s="79">
        <f t="shared" si="5"/>
        <v>2850</v>
      </c>
      <c r="G33" s="272">
        <f t="shared" si="5"/>
        <v>1178.92</v>
      </c>
      <c r="H33" s="79">
        <f t="shared" si="5"/>
        <v>2850</v>
      </c>
      <c r="I33" s="67">
        <f t="shared" si="0"/>
        <v>100</v>
      </c>
    </row>
    <row r="34" spans="1:9" s="51" customFormat="1" ht="24">
      <c r="A34" s="65" t="s">
        <v>78</v>
      </c>
      <c r="B34" s="76" t="s">
        <v>535</v>
      </c>
      <c r="C34" s="66" t="s">
        <v>69</v>
      </c>
      <c r="D34" s="66" t="s">
        <v>86</v>
      </c>
      <c r="E34" s="81">
        <v>240</v>
      </c>
      <c r="F34" s="79">
        <v>2850</v>
      </c>
      <c r="G34" s="272">
        <v>1178.92</v>
      </c>
      <c r="H34" s="79">
        <v>2850</v>
      </c>
      <c r="I34" s="67">
        <f t="shared" si="0"/>
        <v>100</v>
      </c>
    </row>
    <row r="35" spans="1:9" s="51" customFormat="1" ht="24">
      <c r="A35" s="85" t="s">
        <v>467</v>
      </c>
      <c r="B35" s="86" t="s">
        <v>536</v>
      </c>
      <c r="C35" s="59"/>
      <c r="D35" s="59"/>
      <c r="E35" s="81"/>
      <c r="F35" s="60">
        <f t="shared" ref="F35:H38" si="6">F36</f>
        <v>8940</v>
      </c>
      <c r="G35" s="282">
        <f t="shared" si="6"/>
        <v>5950</v>
      </c>
      <c r="H35" s="60">
        <f t="shared" si="6"/>
        <v>8940</v>
      </c>
      <c r="I35" s="60">
        <f t="shared" si="0"/>
        <v>100</v>
      </c>
    </row>
    <row r="36" spans="1:9" s="51" customFormat="1" ht="12">
      <c r="A36" s="85" t="s">
        <v>103</v>
      </c>
      <c r="B36" s="86" t="s">
        <v>536</v>
      </c>
      <c r="C36" s="59" t="s">
        <v>69</v>
      </c>
      <c r="D36" s="59"/>
      <c r="E36" s="81"/>
      <c r="F36" s="60">
        <f t="shared" si="6"/>
        <v>8940</v>
      </c>
      <c r="G36" s="282">
        <f t="shared" si="6"/>
        <v>5950</v>
      </c>
      <c r="H36" s="60">
        <f t="shared" si="6"/>
        <v>8940</v>
      </c>
      <c r="I36" s="60">
        <f t="shared" si="0"/>
        <v>100</v>
      </c>
    </row>
    <row r="37" spans="1:9" s="51" customFormat="1" ht="12">
      <c r="A37" s="85" t="s">
        <v>285</v>
      </c>
      <c r="B37" s="86" t="s">
        <v>536</v>
      </c>
      <c r="C37" s="59" t="s">
        <v>69</v>
      </c>
      <c r="D37" s="59" t="s">
        <v>86</v>
      </c>
      <c r="E37" s="81"/>
      <c r="F37" s="60">
        <f t="shared" si="6"/>
        <v>8940</v>
      </c>
      <c r="G37" s="282">
        <f t="shared" si="6"/>
        <v>5950</v>
      </c>
      <c r="H37" s="60">
        <f t="shared" si="6"/>
        <v>8940</v>
      </c>
      <c r="I37" s="60">
        <f t="shared" si="0"/>
        <v>100</v>
      </c>
    </row>
    <row r="38" spans="1:9" s="51" customFormat="1" ht="24">
      <c r="A38" s="65" t="s">
        <v>486</v>
      </c>
      <c r="B38" s="76" t="s">
        <v>536</v>
      </c>
      <c r="C38" s="66" t="s">
        <v>69</v>
      </c>
      <c r="D38" s="66" t="s">
        <v>86</v>
      </c>
      <c r="E38" s="81">
        <v>200</v>
      </c>
      <c r="F38" s="67">
        <f t="shared" si="6"/>
        <v>8940</v>
      </c>
      <c r="G38" s="280">
        <f t="shared" si="6"/>
        <v>5950</v>
      </c>
      <c r="H38" s="67">
        <f t="shared" si="6"/>
        <v>8940</v>
      </c>
      <c r="I38" s="67">
        <f t="shared" si="0"/>
        <v>100</v>
      </c>
    </row>
    <row r="39" spans="1:9" s="51" customFormat="1" ht="24">
      <c r="A39" s="65" t="s">
        <v>78</v>
      </c>
      <c r="B39" s="76" t="s">
        <v>536</v>
      </c>
      <c r="C39" s="66" t="s">
        <v>69</v>
      </c>
      <c r="D39" s="66" t="s">
        <v>86</v>
      </c>
      <c r="E39" s="81">
        <v>240</v>
      </c>
      <c r="F39" s="67">
        <f>7140+1800</f>
        <v>8940</v>
      </c>
      <c r="G39" s="280">
        <v>5950</v>
      </c>
      <c r="H39" s="67">
        <v>8940</v>
      </c>
      <c r="I39" s="67">
        <f t="shared" si="0"/>
        <v>100</v>
      </c>
    </row>
    <row r="40" spans="1:9" s="51" customFormat="1" ht="24">
      <c r="A40" s="58" t="s">
        <v>468</v>
      </c>
      <c r="B40" s="86" t="s">
        <v>537</v>
      </c>
      <c r="C40" s="59"/>
      <c r="D40" s="59"/>
      <c r="E40" s="81"/>
      <c r="F40" s="60">
        <f t="shared" ref="F40:H43" si="7">F41</f>
        <v>18092</v>
      </c>
      <c r="G40" s="60">
        <f t="shared" si="7"/>
        <v>13568.228999999999</v>
      </c>
      <c r="H40" s="60">
        <f t="shared" si="7"/>
        <v>18092</v>
      </c>
      <c r="I40" s="60">
        <f t="shared" si="0"/>
        <v>100</v>
      </c>
    </row>
    <row r="41" spans="1:9" s="51" customFormat="1" ht="12">
      <c r="A41" s="85" t="s">
        <v>103</v>
      </c>
      <c r="B41" s="86" t="s">
        <v>537</v>
      </c>
      <c r="C41" s="59" t="s">
        <v>69</v>
      </c>
      <c r="D41" s="59"/>
      <c r="E41" s="81"/>
      <c r="F41" s="60">
        <f t="shared" si="7"/>
        <v>18092</v>
      </c>
      <c r="G41" s="60">
        <f t="shared" si="7"/>
        <v>13568.228999999999</v>
      </c>
      <c r="H41" s="60">
        <f t="shared" si="7"/>
        <v>18092</v>
      </c>
      <c r="I41" s="60">
        <f t="shared" si="0"/>
        <v>100</v>
      </c>
    </row>
    <row r="42" spans="1:9" s="51" customFormat="1" ht="12">
      <c r="A42" s="85" t="s">
        <v>285</v>
      </c>
      <c r="B42" s="86" t="s">
        <v>537</v>
      </c>
      <c r="C42" s="59" t="s">
        <v>69</v>
      </c>
      <c r="D42" s="59" t="s">
        <v>86</v>
      </c>
      <c r="E42" s="81"/>
      <c r="F42" s="60">
        <f t="shared" si="7"/>
        <v>18092</v>
      </c>
      <c r="G42" s="60">
        <f t="shared" si="7"/>
        <v>13568.228999999999</v>
      </c>
      <c r="H42" s="60">
        <f t="shared" si="7"/>
        <v>18092</v>
      </c>
      <c r="I42" s="60">
        <f t="shared" si="0"/>
        <v>100</v>
      </c>
    </row>
    <row r="43" spans="1:9" s="51" customFormat="1" ht="24">
      <c r="A43" s="65" t="s">
        <v>486</v>
      </c>
      <c r="B43" s="76" t="s">
        <v>537</v>
      </c>
      <c r="C43" s="66" t="s">
        <v>69</v>
      </c>
      <c r="D43" s="66" t="s">
        <v>86</v>
      </c>
      <c r="E43" s="81">
        <v>200</v>
      </c>
      <c r="F43" s="67">
        <f t="shared" si="7"/>
        <v>18092</v>
      </c>
      <c r="G43" s="67">
        <f t="shared" si="7"/>
        <v>13568.228999999999</v>
      </c>
      <c r="H43" s="67">
        <f t="shared" si="7"/>
        <v>18092</v>
      </c>
      <c r="I43" s="67">
        <f t="shared" si="0"/>
        <v>100</v>
      </c>
    </row>
    <row r="44" spans="1:9" s="51" customFormat="1" ht="24">
      <c r="A44" s="65" t="s">
        <v>78</v>
      </c>
      <c r="B44" s="76" t="s">
        <v>537</v>
      </c>
      <c r="C44" s="66" t="s">
        <v>69</v>
      </c>
      <c r="D44" s="66" t="s">
        <v>86</v>
      </c>
      <c r="E44" s="81">
        <v>240</v>
      </c>
      <c r="F44" s="67">
        <v>18092</v>
      </c>
      <c r="G44" s="280">
        <v>13568.228999999999</v>
      </c>
      <c r="H44" s="67">
        <v>18092</v>
      </c>
      <c r="I44" s="67">
        <f t="shared" si="0"/>
        <v>100</v>
      </c>
    </row>
    <row r="45" spans="1:9" s="51" customFormat="1" ht="13.5">
      <c r="A45" s="69" t="s">
        <v>39</v>
      </c>
      <c r="B45" s="93" t="s">
        <v>223</v>
      </c>
      <c r="C45" s="61"/>
      <c r="D45" s="61"/>
      <c r="E45" s="91"/>
      <c r="F45" s="62">
        <f>F46+F51</f>
        <v>1750</v>
      </c>
      <c r="G45" s="62">
        <f>G46+G51</f>
        <v>108.18700000000001</v>
      </c>
      <c r="H45" s="62">
        <f>H46+H51</f>
        <v>1750</v>
      </c>
      <c r="I45" s="60">
        <f t="shared" si="0"/>
        <v>100</v>
      </c>
    </row>
    <row r="46" spans="1:9" s="51" customFormat="1" ht="12">
      <c r="A46" s="58" t="s">
        <v>538</v>
      </c>
      <c r="B46" s="59" t="s">
        <v>469</v>
      </c>
      <c r="C46" s="59"/>
      <c r="D46" s="59"/>
      <c r="E46" s="94"/>
      <c r="F46" s="60">
        <f t="shared" ref="F46:H49" si="8">F47</f>
        <v>150</v>
      </c>
      <c r="G46" s="60">
        <f t="shared" si="8"/>
        <v>37.68</v>
      </c>
      <c r="H46" s="60">
        <f t="shared" si="8"/>
        <v>150</v>
      </c>
      <c r="I46" s="60">
        <f t="shared" si="0"/>
        <v>100</v>
      </c>
    </row>
    <row r="47" spans="1:9" s="51" customFormat="1" ht="12">
      <c r="A47" s="85" t="s">
        <v>103</v>
      </c>
      <c r="B47" s="59" t="s">
        <v>469</v>
      </c>
      <c r="C47" s="59" t="s">
        <v>69</v>
      </c>
      <c r="D47" s="59"/>
      <c r="E47" s="94"/>
      <c r="F47" s="60">
        <f t="shared" si="8"/>
        <v>150</v>
      </c>
      <c r="G47" s="60">
        <f t="shared" si="8"/>
        <v>37.68</v>
      </c>
      <c r="H47" s="60">
        <f t="shared" si="8"/>
        <v>150</v>
      </c>
      <c r="I47" s="60">
        <f t="shared" si="0"/>
        <v>100</v>
      </c>
    </row>
    <row r="48" spans="1:9" s="51" customFormat="1" ht="12">
      <c r="A48" s="85" t="s">
        <v>285</v>
      </c>
      <c r="B48" s="59" t="s">
        <v>469</v>
      </c>
      <c r="C48" s="59" t="s">
        <v>69</v>
      </c>
      <c r="D48" s="59" t="s">
        <v>86</v>
      </c>
      <c r="E48" s="94"/>
      <c r="F48" s="60">
        <f t="shared" si="8"/>
        <v>150</v>
      </c>
      <c r="G48" s="60">
        <f t="shared" si="8"/>
        <v>37.68</v>
      </c>
      <c r="H48" s="60">
        <f t="shared" si="8"/>
        <v>150</v>
      </c>
      <c r="I48" s="60">
        <f t="shared" si="0"/>
        <v>100</v>
      </c>
    </row>
    <row r="49" spans="1:9" s="51" customFormat="1" ht="24">
      <c r="A49" s="65" t="s">
        <v>486</v>
      </c>
      <c r="B49" s="76" t="s">
        <v>469</v>
      </c>
      <c r="C49" s="66" t="s">
        <v>69</v>
      </c>
      <c r="D49" s="66" t="s">
        <v>86</v>
      </c>
      <c r="E49" s="81">
        <v>200</v>
      </c>
      <c r="F49" s="67">
        <f t="shared" si="8"/>
        <v>150</v>
      </c>
      <c r="G49" s="67">
        <f t="shared" si="8"/>
        <v>37.68</v>
      </c>
      <c r="H49" s="67">
        <f t="shared" si="8"/>
        <v>150</v>
      </c>
      <c r="I49" s="67">
        <f t="shared" si="0"/>
        <v>100</v>
      </c>
    </row>
    <row r="50" spans="1:9" s="51" customFormat="1" ht="24">
      <c r="A50" s="65" t="s">
        <v>78</v>
      </c>
      <c r="B50" s="76" t="s">
        <v>469</v>
      </c>
      <c r="C50" s="66" t="s">
        <v>69</v>
      </c>
      <c r="D50" s="66" t="s">
        <v>86</v>
      </c>
      <c r="E50" s="81">
        <v>240</v>
      </c>
      <c r="F50" s="67">
        <v>150</v>
      </c>
      <c r="G50" s="280">
        <v>37.68</v>
      </c>
      <c r="H50" s="67">
        <v>150</v>
      </c>
      <c r="I50" s="67">
        <f t="shared" si="0"/>
        <v>100</v>
      </c>
    </row>
    <row r="51" spans="1:9" s="51" customFormat="1" ht="24">
      <c r="A51" s="58" t="s">
        <v>471</v>
      </c>
      <c r="B51" s="86" t="s">
        <v>470</v>
      </c>
      <c r="C51" s="59"/>
      <c r="D51" s="59"/>
      <c r="E51" s="94"/>
      <c r="F51" s="60">
        <f t="shared" ref="F51:H54" si="9">F52</f>
        <v>1600</v>
      </c>
      <c r="G51" s="60">
        <f t="shared" si="9"/>
        <v>70.507000000000005</v>
      </c>
      <c r="H51" s="60">
        <f t="shared" si="9"/>
        <v>1600</v>
      </c>
      <c r="I51" s="60">
        <f t="shared" si="0"/>
        <v>100</v>
      </c>
    </row>
    <row r="52" spans="1:9" s="51" customFormat="1" ht="12">
      <c r="A52" s="85" t="s">
        <v>103</v>
      </c>
      <c r="B52" s="86" t="s">
        <v>470</v>
      </c>
      <c r="C52" s="59" t="s">
        <v>69</v>
      </c>
      <c r="D52" s="59"/>
      <c r="E52" s="94"/>
      <c r="F52" s="60">
        <f t="shared" si="9"/>
        <v>1600</v>
      </c>
      <c r="G52" s="60">
        <f t="shared" si="9"/>
        <v>70.507000000000005</v>
      </c>
      <c r="H52" s="60">
        <f t="shared" si="9"/>
        <v>1600</v>
      </c>
      <c r="I52" s="60">
        <f t="shared" si="0"/>
        <v>100</v>
      </c>
    </row>
    <row r="53" spans="1:9" s="51" customFormat="1" ht="12">
      <c r="A53" s="85" t="s">
        <v>285</v>
      </c>
      <c r="B53" s="86" t="s">
        <v>470</v>
      </c>
      <c r="C53" s="59" t="s">
        <v>69</v>
      </c>
      <c r="D53" s="59" t="s">
        <v>86</v>
      </c>
      <c r="E53" s="94"/>
      <c r="F53" s="60">
        <f t="shared" si="9"/>
        <v>1600</v>
      </c>
      <c r="G53" s="60">
        <f t="shared" si="9"/>
        <v>70.507000000000005</v>
      </c>
      <c r="H53" s="60">
        <f t="shared" si="9"/>
        <v>1600</v>
      </c>
      <c r="I53" s="60">
        <f t="shared" si="0"/>
        <v>100</v>
      </c>
    </row>
    <row r="54" spans="1:9" s="51" customFormat="1" ht="24">
      <c r="A54" s="65" t="s">
        <v>486</v>
      </c>
      <c r="B54" s="76" t="s">
        <v>470</v>
      </c>
      <c r="C54" s="66" t="s">
        <v>69</v>
      </c>
      <c r="D54" s="66" t="s">
        <v>86</v>
      </c>
      <c r="E54" s="81">
        <v>200</v>
      </c>
      <c r="F54" s="67">
        <f t="shared" si="9"/>
        <v>1600</v>
      </c>
      <c r="G54" s="67">
        <f t="shared" si="9"/>
        <v>70.507000000000005</v>
      </c>
      <c r="H54" s="67">
        <f t="shared" si="9"/>
        <v>1600</v>
      </c>
      <c r="I54" s="67">
        <f t="shared" si="0"/>
        <v>100</v>
      </c>
    </row>
    <row r="55" spans="1:9" s="51" customFormat="1" ht="24">
      <c r="A55" s="65" t="s">
        <v>78</v>
      </c>
      <c r="B55" s="76" t="s">
        <v>470</v>
      </c>
      <c r="C55" s="66" t="s">
        <v>69</v>
      </c>
      <c r="D55" s="66" t="s">
        <v>86</v>
      </c>
      <c r="E55" s="81">
        <v>240</v>
      </c>
      <c r="F55" s="67">
        <v>1600</v>
      </c>
      <c r="G55" s="272">
        <v>70.507000000000005</v>
      </c>
      <c r="H55" s="67">
        <v>1600</v>
      </c>
      <c r="I55" s="67">
        <f t="shared" si="0"/>
        <v>100</v>
      </c>
    </row>
    <row r="56" spans="1:9" s="51" customFormat="1" ht="27">
      <c r="A56" s="138" t="s">
        <v>562</v>
      </c>
      <c r="B56" s="172" t="s">
        <v>226</v>
      </c>
      <c r="C56" s="137"/>
      <c r="D56" s="137"/>
      <c r="E56" s="137"/>
      <c r="F56" s="136">
        <f t="shared" ref="F56:H60" si="10">F57</f>
        <v>1500</v>
      </c>
      <c r="G56" s="283">
        <f t="shared" si="10"/>
        <v>770</v>
      </c>
      <c r="H56" s="136">
        <f t="shared" si="10"/>
        <v>1500</v>
      </c>
      <c r="I56" s="136">
        <f t="shared" si="0"/>
        <v>100</v>
      </c>
    </row>
    <row r="57" spans="1:9" s="51" customFormat="1" ht="24">
      <c r="A57" s="85" t="s">
        <v>46</v>
      </c>
      <c r="B57" s="86" t="s">
        <v>563</v>
      </c>
      <c r="C57" s="59"/>
      <c r="D57" s="59"/>
      <c r="E57" s="59"/>
      <c r="F57" s="60">
        <f t="shared" si="10"/>
        <v>1500</v>
      </c>
      <c r="G57" s="282">
        <f t="shared" si="10"/>
        <v>770</v>
      </c>
      <c r="H57" s="60">
        <f t="shared" si="10"/>
        <v>1500</v>
      </c>
      <c r="I57" s="60">
        <f t="shared" si="0"/>
        <v>100</v>
      </c>
    </row>
    <row r="58" spans="1:9" s="51" customFormat="1" ht="12">
      <c r="A58" s="85" t="s">
        <v>360</v>
      </c>
      <c r="B58" s="86" t="s">
        <v>563</v>
      </c>
      <c r="C58" s="59" t="s">
        <v>446</v>
      </c>
      <c r="D58" s="59"/>
      <c r="E58" s="59"/>
      <c r="F58" s="60">
        <f t="shared" si="10"/>
        <v>1500</v>
      </c>
      <c r="G58" s="282">
        <f t="shared" si="10"/>
        <v>770</v>
      </c>
      <c r="H58" s="60">
        <f t="shared" si="10"/>
        <v>1500</v>
      </c>
      <c r="I58" s="60">
        <f t="shared" si="0"/>
        <v>100</v>
      </c>
    </row>
    <row r="59" spans="1:9" s="51" customFormat="1" ht="12">
      <c r="A59" s="85" t="s">
        <v>349</v>
      </c>
      <c r="B59" s="86" t="s">
        <v>563</v>
      </c>
      <c r="C59" s="59" t="s">
        <v>446</v>
      </c>
      <c r="D59" s="59" t="s">
        <v>423</v>
      </c>
      <c r="E59" s="59"/>
      <c r="F59" s="60">
        <f t="shared" si="10"/>
        <v>1500</v>
      </c>
      <c r="G59" s="282">
        <f t="shared" si="10"/>
        <v>770</v>
      </c>
      <c r="H59" s="60">
        <f t="shared" si="10"/>
        <v>1500</v>
      </c>
      <c r="I59" s="60">
        <f t="shared" si="0"/>
        <v>100</v>
      </c>
    </row>
    <row r="60" spans="1:9" s="51" customFormat="1" ht="12">
      <c r="A60" s="65" t="s">
        <v>88</v>
      </c>
      <c r="B60" s="76" t="s">
        <v>563</v>
      </c>
      <c r="C60" s="66" t="s">
        <v>446</v>
      </c>
      <c r="D60" s="66" t="s">
        <v>423</v>
      </c>
      <c r="E60" s="66" t="s">
        <v>87</v>
      </c>
      <c r="F60" s="67">
        <f t="shared" si="10"/>
        <v>1500</v>
      </c>
      <c r="G60" s="280">
        <f t="shared" si="10"/>
        <v>770</v>
      </c>
      <c r="H60" s="67">
        <f t="shared" si="10"/>
        <v>1500</v>
      </c>
      <c r="I60" s="67">
        <f t="shared" si="0"/>
        <v>100</v>
      </c>
    </row>
    <row r="61" spans="1:9" s="51" customFormat="1" ht="12">
      <c r="A61" s="65" t="s">
        <v>138</v>
      </c>
      <c r="B61" s="76" t="s">
        <v>563</v>
      </c>
      <c r="C61" s="66" t="s">
        <v>446</v>
      </c>
      <c r="D61" s="66" t="s">
        <v>423</v>
      </c>
      <c r="E61" s="66" t="s">
        <v>449</v>
      </c>
      <c r="F61" s="67">
        <v>1500</v>
      </c>
      <c r="G61" s="280">
        <v>770</v>
      </c>
      <c r="H61" s="67">
        <v>1500</v>
      </c>
      <c r="I61" s="67">
        <f t="shared" si="0"/>
        <v>100</v>
      </c>
    </row>
    <row r="62" spans="1:9" s="51" customFormat="1" ht="27">
      <c r="A62" s="138" t="s">
        <v>577</v>
      </c>
      <c r="B62" s="137" t="s">
        <v>209</v>
      </c>
      <c r="C62" s="165"/>
      <c r="D62" s="165"/>
      <c r="E62" s="165"/>
      <c r="F62" s="136">
        <f>F63+F76+F82+F128</f>
        <v>959703.26613</v>
      </c>
      <c r="G62" s="283">
        <f>G63+G76+G82+G128</f>
        <v>752238.7127899999</v>
      </c>
      <c r="H62" s="136">
        <f>H63+H76+H82+H128</f>
        <v>939158.91486000002</v>
      </c>
      <c r="I62" s="136">
        <f t="shared" si="0"/>
        <v>97.859301724287647</v>
      </c>
    </row>
    <row r="63" spans="1:9" s="51" customFormat="1" ht="24">
      <c r="A63" s="70" t="s">
        <v>92</v>
      </c>
      <c r="B63" s="71" t="s">
        <v>210</v>
      </c>
      <c r="C63" s="71"/>
      <c r="D63" s="71"/>
      <c r="E63" s="71"/>
      <c r="F63" s="72">
        <f>F64+F69</f>
        <v>5740</v>
      </c>
      <c r="G63" s="281">
        <f>G64+G69</f>
        <v>4088.0243999999998</v>
      </c>
      <c r="H63" s="72">
        <f>H64+H69</f>
        <v>5740</v>
      </c>
      <c r="I63" s="72">
        <f t="shared" si="0"/>
        <v>100</v>
      </c>
    </row>
    <row r="64" spans="1:9" s="51" customFormat="1" ht="24">
      <c r="A64" s="73" t="s">
        <v>271</v>
      </c>
      <c r="B64" s="59" t="s">
        <v>296</v>
      </c>
      <c r="C64" s="59"/>
      <c r="D64" s="59"/>
      <c r="E64" s="59"/>
      <c r="F64" s="60">
        <f t="shared" ref="F64:H67" si="11">F65</f>
        <v>5475</v>
      </c>
      <c r="G64" s="282">
        <f t="shared" si="11"/>
        <v>3903.0782599999998</v>
      </c>
      <c r="H64" s="60">
        <f t="shared" si="11"/>
        <v>5475</v>
      </c>
      <c r="I64" s="60">
        <f t="shared" si="0"/>
        <v>100</v>
      </c>
    </row>
    <row r="65" spans="1:9" s="51" customFormat="1" ht="12">
      <c r="A65" s="73" t="s">
        <v>707</v>
      </c>
      <c r="B65" s="59" t="s">
        <v>296</v>
      </c>
      <c r="C65" s="59" t="s">
        <v>71</v>
      </c>
      <c r="D65" s="59"/>
      <c r="E65" s="59"/>
      <c r="F65" s="60">
        <f t="shared" si="11"/>
        <v>5475</v>
      </c>
      <c r="G65" s="282">
        <f t="shared" si="11"/>
        <v>3903.0782599999998</v>
      </c>
      <c r="H65" s="60">
        <f t="shared" si="11"/>
        <v>5475</v>
      </c>
      <c r="I65" s="60">
        <f t="shared" si="0"/>
        <v>100</v>
      </c>
    </row>
    <row r="66" spans="1:9" s="51" customFormat="1" ht="12">
      <c r="A66" s="73" t="s">
        <v>708</v>
      </c>
      <c r="B66" s="59" t="s">
        <v>296</v>
      </c>
      <c r="C66" s="59" t="s">
        <v>71</v>
      </c>
      <c r="D66" s="59" t="s">
        <v>428</v>
      </c>
      <c r="E66" s="59"/>
      <c r="F66" s="60">
        <f t="shared" si="11"/>
        <v>5475</v>
      </c>
      <c r="G66" s="282">
        <f t="shared" si="11"/>
        <v>3903.0782599999998</v>
      </c>
      <c r="H66" s="60">
        <f t="shared" si="11"/>
        <v>5475</v>
      </c>
      <c r="I66" s="60">
        <f t="shared" si="0"/>
        <v>100</v>
      </c>
    </row>
    <row r="67" spans="1:9" s="51" customFormat="1" ht="36">
      <c r="A67" s="65" t="s">
        <v>72</v>
      </c>
      <c r="B67" s="66" t="s">
        <v>296</v>
      </c>
      <c r="C67" s="66" t="s">
        <v>71</v>
      </c>
      <c r="D67" s="66" t="s">
        <v>428</v>
      </c>
      <c r="E67" s="66" t="s">
        <v>73</v>
      </c>
      <c r="F67" s="67">
        <f t="shared" si="11"/>
        <v>5475</v>
      </c>
      <c r="G67" s="280">
        <f t="shared" si="11"/>
        <v>3903.0782599999998</v>
      </c>
      <c r="H67" s="67">
        <f t="shared" si="11"/>
        <v>5475</v>
      </c>
      <c r="I67" s="67">
        <f t="shared" si="0"/>
        <v>100</v>
      </c>
    </row>
    <row r="68" spans="1:9" s="51" customFormat="1" ht="12">
      <c r="A68" s="65" t="s">
        <v>74</v>
      </c>
      <c r="B68" s="66" t="s">
        <v>296</v>
      </c>
      <c r="C68" s="66" t="s">
        <v>71</v>
      </c>
      <c r="D68" s="66" t="s">
        <v>428</v>
      </c>
      <c r="E68" s="66" t="s">
        <v>75</v>
      </c>
      <c r="F68" s="67">
        <v>5475</v>
      </c>
      <c r="G68" s="280">
        <v>3903.0782599999998</v>
      </c>
      <c r="H68" s="67">
        <v>5475</v>
      </c>
      <c r="I68" s="67">
        <f t="shared" si="0"/>
        <v>100</v>
      </c>
    </row>
    <row r="69" spans="1:9" s="51" customFormat="1" ht="12">
      <c r="A69" s="58" t="s">
        <v>76</v>
      </c>
      <c r="B69" s="59" t="s">
        <v>297</v>
      </c>
      <c r="C69" s="59"/>
      <c r="D69" s="59"/>
      <c r="E69" s="59"/>
      <c r="F69" s="60">
        <f t="shared" ref="F69:H70" si="12">F70</f>
        <v>265</v>
      </c>
      <c r="G69" s="60">
        <f t="shared" si="12"/>
        <v>184.94614000000001</v>
      </c>
      <c r="H69" s="60">
        <f t="shared" si="12"/>
        <v>265</v>
      </c>
      <c r="I69" s="60">
        <f t="shared" si="0"/>
        <v>100</v>
      </c>
    </row>
    <row r="70" spans="1:9" s="51" customFormat="1" ht="12">
      <c r="A70" s="73" t="s">
        <v>707</v>
      </c>
      <c r="B70" s="59" t="s">
        <v>297</v>
      </c>
      <c r="C70" s="59" t="s">
        <v>71</v>
      </c>
      <c r="D70" s="59"/>
      <c r="E70" s="59"/>
      <c r="F70" s="60">
        <f t="shared" si="12"/>
        <v>265</v>
      </c>
      <c r="G70" s="60">
        <f t="shared" si="12"/>
        <v>184.94614000000001</v>
      </c>
      <c r="H70" s="60">
        <f t="shared" si="12"/>
        <v>265</v>
      </c>
      <c r="I70" s="60">
        <f t="shared" si="0"/>
        <v>100</v>
      </c>
    </row>
    <row r="71" spans="1:9" s="51" customFormat="1" ht="12">
      <c r="A71" s="73" t="s">
        <v>708</v>
      </c>
      <c r="B71" s="59" t="s">
        <v>297</v>
      </c>
      <c r="C71" s="59" t="s">
        <v>71</v>
      </c>
      <c r="D71" s="59" t="s">
        <v>428</v>
      </c>
      <c r="E71" s="59"/>
      <c r="F71" s="60">
        <f>F72+F74</f>
        <v>265</v>
      </c>
      <c r="G71" s="60">
        <f>G72+G74</f>
        <v>184.94614000000001</v>
      </c>
      <c r="H71" s="60">
        <f>H72+H74</f>
        <v>265</v>
      </c>
      <c r="I71" s="60">
        <f t="shared" ref="I71:I134" si="13">H71/F71*100</f>
        <v>100</v>
      </c>
    </row>
    <row r="72" spans="1:9" s="51" customFormat="1" ht="24">
      <c r="A72" s="65" t="s">
        <v>486</v>
      </c>
      <c r="B72" s="66" t="s">
        <v>297</v>
      </c>
      <c r="C72" s="66" t="s">
        <v>71</v>
      </c>
      <c r="D72" s="66" t="s">
        <v>428</v>
      </c>
      <c r="E72" s="66" t="s">
        <v>77</v>
      </c>
      <c r="F72" s="67">
        <f>F73</f>
        <v>255</v>
      </c>
      <c r="G72" s="67">
        <f>G73</f>
        <v>184.94614000000001</v>
      </c>
      <c r="H72" s="67">
        <f>H73</f>
        <v>255</v>
      </c>
      <c r="I72" s="67">
        <f t="shared" si="13"/>
        <v>100</v>
      </c>
    </row>
    <row r="73" spans="1:9" s="51" customFormat="1" ht="24">
      <c r="A73" s="65" t="s">
        <v>78</v>
      </c>
      <c r="B73" s="66" t="s">
        <v>297</v>
      </c>
      <c r="C73" s="66" t="s">
        <v>71</v>
      </c>
      <c r="D73" s="66" t="s">
        <v>428</v>
      </c>
      <c r="E73" s="66" t="s">
        <v>79</v>
      </c>
      <c r="F73" s="67">
        <v>255</v>
      </c>
      <c r="G73" s="280">
        <v>184.94614000000001</v>
      </c>
      <c r="H73" s="67">
        <v>255</v>
      </c>
      <c r="I73" s="67">
        <f t="shared" si="13"/>
        <v>100</v>
      </c>
    </row>
    <row r="74" spans="1:9" s="51" customFormat="1" ht="12">
      <c r="A74" s="65" t="s">
        <v>80</v>
      </c>
      <c r="B74" s="66" t="s">
        <v>297</v>
      </c>
      <c r="C74" s="66" t="s">
        <v>71</v>
      </c>
      <c r="D74" s="66" t="s">
        <v>428</v>
      </c>
      <c r="E74" s="66" t="s">
        <v>81</v>
      </c>
      <c r="F74" s="67">
        <f>F75</f>
        <v>10</v>
      </c>
      <c r="G74" s="272">
        <f>G75</f>
        <v>0</v>
      </c>
      <c r="H74" s="67">
        <f>H75</f>
        <v>10</v>
      </c>
      <c r="I74" s="67">
        <f t="shared" si="13"/>
        <v>100</v>
      </c>
    </row>
    <row r="75" spans="1:9" s="51" customFormat="1" ht="12">
      <c r="A75" s="65" t="s">
        <v>445</v>
      </c>
      <c r="B75" s="66" t="s">
        <v>297</v>
      </c>
      <c r="C75" s="66" t="s">
        <v>71</v>
      </c>
      <c r="D75" s="66" t="s">
        <v>428</v>
      </c>
      <c r="E75" s="66" t="s">
        <v>82</v>
      </c>
      <c r="F75" s="67">
        <v>10</v>
      </c>
      <c r="G75" s="272">
        <v>0</v>
      </c>
      <c r="H75" s="67">
        <v>10</v>
      </c>
      <c r="I75" s="67">
        <f t="shared" si="13"/>
        <v>100</v>
      </c>
    </row>
    <row r="76" spans="1:9" s="51" customFormat="1" ht="12">
      <c r="A76" s="74" t="s">
        <v>298</v>
      </c>
      <c r="B76" s="75" t="s">
        <v>299</v>
      </c>
      <c r="C76" s="71"/>
      <c r="D76" s="71"/>
      <c r="E76" s="71"/>
      <c r="F76" s="72">
        <f t="shared" ref="F76:H80" si="14">F77</f>
        <v>73000</v>
      </c>
      <c r="G76" s="281">
        <f t="shared" si="14"/>
        <v>64286</v>
      </c>
      <c r="H76" s="72">
        <f t="shared" si="14"/>
        <v>73000</v>
      </c>
      <c r="I76" s="72">
        <f t="shared" si="13"/>
        <v>100</v>
      </c>
    </row>
    <row r="77" spans="1:9" s="51" customFormat="1" ht="27" customHeight="1">
      <c r="A77" s="74" t="s">
        <v>484</v>
      </c>
      <c r="B77" s="75" t="s">
        <v>578</v>
      </c>
      <c r="C77" s="71"/>
      <c r="D77" s="71"/>
      <c r="E77" s="71"/>
      <c r="F77" s="72">
        <f t="shared" si="14"/>
        <v>73000</v>
      </c>
      <c r="G77" s="281">
        <f t="shared" si="14"/>
        <v>64286</v>
      </c>
      <c r="H77" s="72">
        <f t="shared" si="14"/>
        <v>73000</v>
      </c>
      <c r="I77" s="72">
        <f t="shared" si="13"/>
        <v>100</v>
      </c>
    </row>
    <row r="78" spans="1:9" s="51" customFormat="1" ht="12">
      <c r="A78" s="73" t="s">
        <v>707</v>
      </c>
      <c r="B78" s="86" t="s">
        <v>578</v>
      </c>
      <c r="C78" s="59" t="s">
        <v>71</v>
      </c>
      <c r="D78" s="59"/>
      <c r="E78" s="59"/>
      <c r="F78" s="60">
        <f t="shared" si="14"/>
        <v>73000</v>
      </c>
      <c r="G78" s="282">
        <f t="shared" si="14"/>
        <v>64286</v>
      </c>
      <c r="H78" s="60">
        <f t="shared" si="14"/>
        <v>73000</v>
      </c>
      <c r="I78" s="60">
        <f t="shared" si="13"/>
        <v>100</v>
      </c>
    </row>
    <row r="79" spans="1:9" s="51" customFormat="1" ht="12">
      <c r="A79" s="73" t="s">
        <v>708</v>
      </c>
      <c r="B79" s="86" t="s">
        <v>578</v>
      </c>
      <c r="C79" s="59" t="s">
        <v>71</v>
      </c>
      <c r="D79" s="59" t="s">
        <v>428</v>
      </c>
      <c r="E79" s="59"/>
      <c r="F79" s="60">
        <f t="shared" si="14"/>
        <v>73000</v>
      </c>
      <c r="G79" s="282">
        <f t="shared" si="14"/>
        <v>64286</v>
      </c>
      <c r="H79" s="60">
        <f t="shared" si="14"/>
        <v>73000</v>
      </c>
      <c r="I79" s="60">
        <f t="shared" si="13"/>
        <v>100</v>
      </c>
    </row>
    <row r="80" spans="1:9" s="51" customFormat="1" ht="12">
      <c r="A80" s="65" t="s">
        <v>80</v>
      </c>
      <c r="B80" s="76" t="s">
        <v>578</v>
      </c>
      <c r="C80" s="66" t="s">
        <v>71</v>
      </c>
      <c r="D80" s="66" t="s">
        <v>428</v>
      </c>
      <c r="E80" s="66" t="s">
        <v>81</v>
      </c>
      <c r="F80" s="67">
        <f t="shared" si="14"/>
        <v>73000</v>
      </c>
      <c r="G80" s="280">
        <f t="shared" si="14"/>
        <v>64286</v>
      </c>
      <c r="H80" s="67">
        <f t="shared" si="14"/>
        <v>73000</v>
      </c>
      <c r="I80" s="67">
        <f t="shared" si="13"/>
        <v>100</v>
      </c>
    </row>
    <row r="81" spans="1:9" s="51" customFormat="1" ht="24">
      <c r="A81" s="65" t="s">
        <v>485</v>
      </c>
      <c r="B81" s="76" t="s">
        <v>578</v>
      </c>
      <c r="C81" s="66" t="s">
        <v>71</v>
      </c>
      <c r="D81" s="66" t="s">
        <v>428</v>
      </c>
      <c r="E81" s="66" t="s">
        <v>374</v>
      </c>
      <c r="F81" s="67">
        <f>63000+10000</f>
        <v>73000</v>
      </c>
      <c r="G81" s="280">
        <v>64286</v>
      </c>
      <c r="H81" s="67">
        <v>73000</v>
      </c>
      <c r="I81" s="67">
        <f t="shared" si="13"/>
        <v>100</v>
      </c>
    </row>
    <row r="82" spans="1:9" s="51" customFormat="1" ht="24">
      <c r="A82" s="74" t="s">
        <v>579</v>
      </c>
      <c r="B82" s="75" t="s">
        <v>300</v>
      </c>
      <c r="C82" s="71"/>
      <c r="D82" s="71"/>
      <c r="E82" s="71"/>
      <c r="F82" s="72">
        <f>F83+F93+F98+F103+F108+F113+F88+F118+F123</f>
        <v>828509.76613</v>
      </c>
      <c r="G82" s="281">
        <f>G83+G93+G98+G103+G108+G113+G88+G118+G123</f>
        <v>643638.14088999992</v>
      </c>
      <c r="H82" s="72">
        <f>H83+H93+H98+H103+H108+H113+H88+H118+H123</f>
        <v>807965.41486000002</v>
      </c>
      <c r="I82" s="72">
        <f t="shared" si="13"/>
        <v>97.52032479158774</v>
      </c>
    </row>
    <row r="83" spans="1:9" s="51" customFormat="1" ht="36">
      <c r="A83" s="58" t="s">
        <v>212</v>
      </c>
      <c r="B83" s="59" t="s">
        <v>580</v>
      </c>
      <c r="C83" s="59"/>
      <c r="D83" s="59"/>
      <c r="E83" s="59"/>
      <c r="F83" s="60">
        <f t="shared" ref="F83:H86" si="15">F84</f>
        <v>22422.814859999999</v>
      </c>
      <c r="G83" s="282">
        <f t="shared" si="15"/>
        <v>5388.6729999999998</v>
      </c>
      <c r="H83" s="60">
        <f t="shared" si="15"/>
        <v>22422.814859999999</v>
      </c>
      <c r="I83" s="60">
        <f t="shared" si="13"/>
        <v>100</v>
      </c>
    </row>
    <row r="84" spans="1:9" s="51" customFormat="1" ht="12">
      <c r="A84" s="73" t="s">
        <v>707</v>
      </c>
      <c r="B84" s="59" t="s">
        <v>580</v>
      </c>
      <c r="C84" s="59" t="s">
        <v>71</v>
      </c>
      <c r="D84" s="59"/>
      <c r="E84" s="59"/>
      <c r="F84" s="60">
        <f t="shared" si="15"/>
        <v>22422.814859999999</v>
      </c>
      <c r="G84" s="282">
        <f t="shared" si="15"/>
        <v>5388.6729999999998</v>
      </c>
      <c r="H84" s="60">
        <f t="shared" si="15"/>
        <v>22422.814859999999</v>
      </c>
      <c r="I84" s="60">
        <f t="shared" si="13"/>
        <v>100</v>
      </c>
    </row>
    <row r="85" spans="1:9" s="51" customFormat="1" ht="12">
      <c r="A85" s="58" t="s">
        <v>352</v>
      </c>
      <c r="B85" s="59" t="s">
        <v>580</v>
      </c>
      <c r="C85" s="59" t="s">
        <v>71</v>
      </c>
      <c r="D85" s="59" t="s">
        <v>424</v>
      </c>
      <c r="E85" s="59"/>
      <c r="F85" s="60">
        <f t="shared" si="15"/>
        <v>22422.814859999999</v>
      </c>
      <c r="G85" s="282">
        <f t="shared" si="15"/>
        <v>5388.6729999999998</v>
      </c>
      <c r="H85" s="60">
        <f t="shared" si="15"/>
        <v>22422.814859999999</v>
      </c>
      <c r="I85" s="60">
        <f t="shared" si="13"/>
        <v>100</v>
      </c>
    </row>
    <row r="86" spans="1:9" s="51" customFormat="1" ht="24">
      <c r="A86" s="65" t="s">
        <v>486</v>
      </c>
      <c r="B86" s="66" t="s">
        <v>580</v>
      </c>
      <c r="C86" s="66" t="s">
        <v>71</v>
      </c>
      <c r="D86" s="66" t="s">
        <v>424</v>
      </c>
      <c r="E86" s="66" t="s">
        <v>77</v>
      </c>
      <c r="F86" s="67">
        <f t="shared" si="15"/>
        <v>22422.814859999999</v>
      </c>
      <c r="G86" s="280">
        <f t="shared" si="15"/>
        <v>5388.6729999999998</v>
      </c>
      <c r="H86" s="67">
        <f t="shared" si="15"/>
        <v>22422.814859999999</v>
      </c>
      <c r="I86" s="67">
        <f t="shared" si="13"/>
        <v>100</v>
      </c>
    </row>
    <row r="87" spans="1:9" s="51" customFormat="1" ht="24">
      <c r="A87" s="65" t="s">
        <v>78</v>
      </c>
      <c r="B87" s="66" t="s">
        <v>580</v>
      </c>
      <c r="C87" s="66" t="s">
        <v>71</v>
      </c>
      <c r="D87" s="66" t="s">
        <v>424</v>
      </c>
      <c r="E87" s="66" t="s">
        <v>79</v>
      </c>
      <c r="F87" s="67">
        <f>3474+16000+2948.81486</f>
        <v>22422.814859999999</v>
      </c>
      <c r="G87" s="280">
        <v>5388.6729999999998</v>
      </c>
      <c r="H87" s="67">
        <v>22422.814859999999</v>
      </c>
      <c r="I87" s="67">
        <f t="shared" si="13"/>
        <v>100</v>
      </c>
    </row>
    <row r="88" spans="1:9" s="51" customFormat="1" ht="36">
      <c r="A88" s="58" t="s">
        <v>749</v>
      </c>
      <c r="B88" s="59" t="s">
        <v>726</v>
      </c>
      <c r="C88" s="59"/>
      <c r="D88" s="59"/>
      <c r="E88" s="59"/>
      <c r="F88" s="60">
        <f t="shared" ref="F88:H91" si="16">F89</f>
        <v>47665.94</v>
      </c>
      <c r="G88" s="273">
        <f t="shared" si="16"/>
        <v>2435.61553</v>
      </c>
      <c r="H88" s="60">
        <f t="shared" si="16"/>
        <v>27665.940000000002</v>
      </c>
      <c r="I88" s="60">
        <f t="shared" si="13"/>
        <v>58.041318392126541</v>
      </c>
    </row>
    <row r="89" spans="1:9" s="51" customFormat="1" ht="12">
      <c r="A89" s="73" t="s">
        <v>707</v>
      </c>
      <c r="B89" s="59" t="s">
        <v>726</v>
      </c>
      <c r="C89" s="59" t="s">
        <v>71</v>
      </c>
      <c r="D89" s="59"/>
      <c r="E89" s="59"/>
      <c r="F89" s="60">
        <f t="shared" si="16"/>
        <v>47665.94</v>
      </c>
      <c r="G89" s="273">
        <f t="shared" si="16"/>
        <v>2435.61553</v>
      </c>
      <c r="H89" s="60">
        <f t="shared" si="16"/>
        <v>27665.940000000002</v>
      </c>
      <c r="I89" s="60">
        <f t="shared" si="13"/>
        <v>58.041318392126541</v>
      </c>
    </row>
    <row r="90" spans="1:9" s="51" customFormat="1" ht="12">
      <c r="A90" s="58" t="s">
        <v>352</v>
      </c>
      <c r="B90" s="59" t="s">
        <v>726</v>
      </c>
      <c r="C90" s="59" t="s">
        <v>71</v>
      </c>
      <c r="D90" s="59" t="s">
        <v>424</v>
      </c>
      <c r="E90" s="59"/>
      <c r="F90" s="60">
        <f t="shared" si="16"/>
        <v>47665.94</v>
      </c>
      <c r="G90" s="273">
        <f t="shared" si="16"/>
        <v>2435.61553</v>
      </c>
      <c r="H90" s="60">
        <f t="shared" si="16"/>
        <v>27665.940000000002</v>
      </c>
      <c r="I90" s="60">
        <f t="shared" si="13"/>
        <v>58.041318392126541</v>
      </c>
    </row>
    <row r="91" spans="1:9" s="51" customFormat="1" ht="24">
      <c r="A91" s="65" t="s">
        <v>486</v>
      </c>
      <c r="B91" s="66" t="s">
        <v>726</v>
      </c>
      <c r="C91" s="66" t="s">
        <v>71</v>
      </c>
      <c r="D91" s="66" t="s">
        <v>424</v>
      </c>
      <c r="E91" s="66" t="s">
        <v>77</v>
      </c>
      <c r="F91" s="67">
        <f t="shared" si="16"/>
        <v>47665.94</v>
      </c>
      <c r="G91" s="272">
        <f t="shared" si="16"/>
        <v>2435.61553</v>
      </c>
      <c r="H91" s="67">
        <f t="shared" si="16"/>
        <v>27665.940000000002</v>
      </c>
      <c r="I91" s="67">
        <f t="shared" si="13"/>
        <v>58.041318392126541</v>
      </c>
    </row>
    <row r="92" spans="1:9" s="51" customFormat="1" ht="24">
      <c r="A92" s="65" t="s">
        <v>78</v>
      </c>
      <c r="B92" s="66" t="s">
        <v>726</v>
      </c>
      <c r="C92" s="66" t="s">
        <v>71</v>
      </c>
      <c r="D92" s="66" t="s">
        <v>424</v>
      </c>
      <c r="E92" s="66" t="s">
        <v>79</v>
      </c>
      <c r="F92" s="67">
        <f>42130.8+1500+6000-1964.86</f>
        <v>47665.94</v>
      </c>
      <c r="G92" s="272">
        <v>2435.61553</v>
      </c>
      <c r="H92" s="67">
        <f>47665.94-20000</f>
        <v>27665.940000000002</v>
      </c>
      <c r="I92" s="67">
        <f t="shared" si="13"/>
        <v>58.041318392126541</v>
      </c>
    </row>
    <row r="93" spans="1:9" s="51" customFormat="1" ht="12">
      <c r="A93" s="125" t="s">
        <v>795</v>
      </c>
      <c r="B93" s="59" t="s">
        <v>794</v>
      </c>
      <c r="C93" s="59"/>
      <c r="D93" s="59"/>
      <c r="E93" s="59"/>
      <c r="F93" s="78">
        <f t="shared" ref="F93:H96" si="17">F94</f>
        <v>544.35127</v>
      </c>
      <c r="G93" s="273">
        <f t="shared" si="17"/>
        <v>0</v>
      </c>
      <c r="H93" s="78">
        <f t="shared" si="17"/>
        <v>0</v>
      </c>
      <c r="I93" s="78">
        <f t="shared" si="13"/>
        <v>0</v>
      </c>
    </row>
    <row r="94" spans="1:9" s="51" customFormat="1" ht="12">
      <c r="A94" s="73" t="s">
        <v>707</v>
      </c>
      <c r="B94" s="59" t="s">
        <v>794</v>
      </c>
      <c r="C94" s="59" t="s">
        <v>71</v>
      </c>
      <c r="D94" s="59"/>
      <c r="E94" s="59"/>
      <c r="F94" s="78">
        <f t="shared" si="17"/>
        <v>544.35127</v>
      </c>
      <c r="G94" s="273">
        <f t="shared" si="17"/>
        <v>0</v>
      </c>
      <c r="H94" s="78">
        <f t="shared" si="17"/>
        <v>0</v>
      </c>
      <c r="I94" s="78">
        <f t="shared" si="13"/>
        <v>0</v>
      </c>
    </row>
    <row r="95" spans="1:9" s="51" customFormat="1" ht="12">
      <c r="A95" s="58" t="s">
        <v>352</v>
      </c>
      <c r="B95" s="59" t="s">
        <v>794</v>
      </c>
      <c r="C95" s="59" t="s">
        <v>71</v>
      </c>
      <c r="D95" s="59" t="s">
        <v>424</v>
      </c>
      <c r="E95" s="59"/>
      <c r="F95" s="78">
        <f t="shared" si="17"/>
        <v>544.35127</v>
      </c>
      <c r="G95" s="273">
        <f t="shared" si="17"/>
        <v>0</v>
      </c>
      <c r="H95" s="78">
        <f t="shared" si="17"/>
        <v>0</v>
      </c>
      <c r="I95" s="78">
        <f t="shared" si="13"/>
        <v>0</v>
      </c>
    </row>
    <row r="96" spans="1:9" s="51" customFormat="1" ht="24">
      <c r="A96" s="65" t="s">
        <v>486</v>
      </c>
      <c r="B96" s="66" t="s">
        <v>794</v>
      </c>
      <c r="C96" s="66" t="s">
        <v>71</v>
      </c>
      <c r="D96" s="66" t="s">
        <v>424</v>
      </c>
      <c r="E96" s="66" t="s">
        <v>77</v>
      </c>
      <c r="F96" s="79">
        <f t="shared" si="17"/>
        <v>544.35127</v>
      </c>
      <c r="G96" s="272">
        <f t="shared" si="17"/>
        <v>0</v>
      </c>
      <c r="H96" s="79">
        <f t="shared" si="17"/>
        <v>0</v>
      </c>
      <c r="I96" s="79">
        <f t="shared" si="13"/>
        <v>0</v>
      </c>
    </row>
    <row r="97" spans="1:9" s="52" customFormat="1" ht="24">
      <c r="A97" s="65" t="s">
        <v>78</v>
      </c>
      <c r="B97" s="66" t="s">
        <v>794</v>
      </c>
      <c r="C97" s="66" t="s">
        <v>71</v>
      </c>
      <c r="D97" s="66" t="s">
        <v>424</v>
      </c>
      <c r="E97" s="66" t="s">
        <v>79</v>
      </c>
      <c r="F97" s="79">
        <v>544.35127</v>
      </c>
      <c r="G97" s="272">
        <v>0</v>
      </c>
      <c r="H97" s="79">
        <f>544.35127-544.35127</f>
        <v>0</v>
      </c>
      <c r="I97" s="79">
        <f t="shared" si="13"/>
        <v>0</v>
      </c>
    </row>
    <row r="98" spans="1:9" s="52" customFormat="1" ht="24">
      <c r="A98" s="70" t="s">
        <v>487</v>
      </c>
      <c r="B98" s="71" t="s">
        <v>41</v>
      </c>
      <c r="C98" s="71"/>
      <c r="D98" s="71"/>
      <c r="E98" s="71"/>
      <c r="F98" s="72">
        <f t="shared" ref="F98:H101" si="18">F99</f>
        <v>164322.79999999999</v>
      </c>
      <c r="G98" s="281">
        <f t="shared" si="18"/>
        <v>149483.24</v>
      </c>
      <c r="H98" s="72">
        <f t="shared" si="18"/>
        <v>164322.79999999999</v>
      </c>
      <c r="I98" s="72">
        <f t="shared" si="13"/>
        <v>100</v>
      </c>
    </row>
    <row r="99" spans="1:9" s="52" customFormat="1" ht="12">
      <c r="A99" s="73" t="s">
        <v>707</v>
      </c>
      <c r="B99" s="59" t="s">
        <v>41</v>
      </c>
      <c r="C99" s="59" t="s">
        <v>71</v>
      </c>
      <c r="D99" s="59"/>
      <c r="E99" s="71"/>
      <c r="F99" s="60">
        <f t="shared" si="18"/>
        <v>164322.79999999999</v>
      </c>
      <c r="G99" s="282">
        <f t="shared" si="18"/>
        <v>149483.24</v>
      </c>
      <c r="H99" s="60">
        <f t="shared" si="18"/>
        <v>164322.79999999999</v>
      </c>
      <c r="I99" s="60">
        <f t="shared" si="13"/>
        <v>100</v>
      </c>
    </row>
    <row r="100" spans="1:9" s="52" customFormat="1" ht="12">
      <c r="A100" s="58" t="s">
        <v>352</v>
      </c>
      <c r="B100" s="59" t="s">
        <v>41</v>
      </c>
      <c r="C100" s="59" t="s">
        <v>71</v>
      </c>
      <c r="D100" s="59" t="s">
        <v>424</v>
      </c>
      <c r="E100" s="71"/>
      <c r="F100" s="60">
        <f t="shared" si="18"/>
        <v>164322.79999999999</v>
      </c>
      <c r="G100" s="282">
        <f t="shared" si="18"/>
        <v>149483.24</v>
      </c>
      <c r="H100" s="60">
        <f t="shared" si="18"/>
        <v>164322.79999999999</v>
      </c>
      <c r="I100" s="60">
        <f t="shared" si="13"/>
        <v>100</v>
      </c>
    </row>
    <row r="101" spans="1:9" s="52" customFormat="1" ht="24">
      <c r="A101" s="65" t="s">
        <v>486</v>
      </c>
      <c r="B101" s="66" t="s">
        <v>41</v>
      </c>
      <c r="C101" s="66" t="s">
        <v>71</v>
      </c>
      <c r="D101" s="66" t="s">
        <v>424</v>
      </c>
      <c r="E101" s="66" t="s">
        <v>77</v>
      </c>
      <c r="F101" s="67">
        <f t="shared" si="18"/>
        <v>164322.79999999999</v>
      </c>
      <c r="G101" s="280">
        <f t="shared" si="18"/>
        <v>149483.24</v>
      </c>
      <c r="H101" s="67">
        <f t="shared" si="18"/>
        <v>164322.79999999999</v>
      </c>
      <c r="I101" s="67">
        <f t="shared" si="13"/>
        <v>100</v>
      </c>
    </row>
    <row r="102" spans="1:9" s="52" customFormat="1" ht="24">
      <c r="A102" s="65" t="s">
        <v>78</v>
      </c>
      <c r="B102" s="66" t="s">
        <v>41</v>
      </c>
      <c r="C102" s="66" t="s">
        <v>71</v>
      </c>
      <c r="D102" s="66" t="s">
        <v>424</v>
      </c>
      <c r="E102" s="66" t="s">
        <v>79</v>
      </c>
      <c r="F102" s="67">
        <v>164322.79999999999</v>
      </c>
      <c r="G102" s="272">
        <v>149483.24</v>
      </c>
      <c r="H102" s="67">
        <v>164322.79999999999</v>
      </c>
      <c r="I102" s="67">
        <f t="shared" si="13"/>
        <v>100</v>
      </c>
    </row>
    <row r="103" spans="1:9" s="52" customFormat="1" ht="36">
      <c r="A103" s="70" t="s">
        <v>213</v>
      </c>
      <c r="B103" s="71" t="s">
        <v>42</v>
      </c>
      <c r="C103" s="71"/>
      <c r="D103" s="71"/>
      <c r="E103" s="71"/>
      <c r="F103" s="72">
        <f t="shared" ref="F103:H106" si="19">F104</f>
        <v>10623</v>
      </c>
      <c r="G103" s="281">
        <f t="shared" si="19"/>
        <v>9720.9113600000001</v>
      </c>
      <c r="H103" s="72">
        <f t="shared" si="19"/>
        <v>10623</v>
      </c>
      <c r="I103" s="72">
        <f t="shared" si="13"/>
        <v>100</v>
      </c>
    </row>
    <row r="104" spans="1:9" s="52" customFormat="1" ht="12">
      <c r="A104" s="73" t="s">
        <v>707</v>
      </c>
      <c r="B104" s="59" t="s">
        <v>42</v>
      </c>
      <c r="C104" s="59" t="s">
        <v>71</v>
      </c>
      <c r="D104" s="59"/>
      <c r="E104" s="71"/>
      <c r="F104" s="60">
        <f t="shared" si="19"/>
        <v>10623</v>
      </c>
      <c r="G104" s="282">
        <f t="shared" si="19"/>
        <v>9720.9113600000001</v>
      </c>
      <c r="H104" s="60">
        <f t="shared" si="19"/>
        <v>10623</v>
      </c>
      <c r="I104" s="60">
        <f t="shared" si="13"/>
        <v>100</v>
      </c>
    </row>
    <row r="105" spans="1:9" s="52" customFormat="1" ht="12">
      <c r="A105" s="58" t="s">
        <v>352</v>
      </c>
      <c r="B105" s="59" t="s">
        <v>42</v>
      </c>
      <c r="C105" s="59" t="s">
        <v>71</v>
      </c>
      <c r="D105" s="59" t="s">
        <v>424</v>
      </c>
      <c r="E105" s="71"/>
      <c r="F105" s="60">
        <f t="shared" si="19"/>
        <v>10623</v>
      </c>
      <c r="G105" s="282">
        <f t="shared" si="19"/>
        <v>9720.9113600000001</v>
      </c>
      <c r="H105" s="60">
        <f t="shared" si="19"/>
        <v>10623</v>
      </c>
      <c r="I105" s="60">
        <f t="shared" si="13"/>
        <v>100</v>
      </c>
    </row>
    <row r="106" spans="1:9" s="52" customFormat="1" ht="24">
      <c r="A106" s="65" t="s">
        <v>486</v>
      </c>
      <c r="B106" s="66" t="s">
        <v>42</v>
      </c>
      <c r="C106" s="66" t="s">
        <v>71</v>
      </c>
      <c r="D106" s="66" t="s">
        <v>424</v>
      </c>
      <c r="E106" s="66" t="s">
        <v>77</v>
      </c>
      <c r="F106" s="67">
        <f t="shared" si="19"/>
        <v>10623</v>
      </c>
      <c r="G106" s="280">
        <f t="shared" si="19"/>
        <v>9720.9113600000001</v>
      </c>
      <c r="H106" s="67">
        <f t="shared" si="19"/>
        <v>10623</v>
      </c>
      <c r="I106" s="67">
        <f t="shared" si="13"/>
        <v>100</v>
      </c>
    </row>
    <row r="107" spans="1:9" s="52" customFormat="1" ht="24">
      <c r="A107" s="65" t="s">
        <v>78</v>
      </c>
      <c r="B107" s="66" t="s">
        <v>42</v>
      </c>
      <c r="C107" s="66" t="s">
        <v>71</v>
      </c>
      <c r="D107" s="66" t="s">
        <v>424</v>
      </c>
      <c r="E107" s="66" t="s">
        <v>79</v>
      </c>
      <c r="F107" s="67">
        <v>10623</v>
      </c>
      <c r="G107" s="272">
        <v>9720.9113600000001</v>
      </c>
      <c r="H107" s="67">
        <v>10623</v>
      </c>
      <c r="I107" s="67">
        <f t="shared" si="13"/>
        <v>100</v>
      </c>
    </row>
    <row r="108" spans="1:9" s="52" customFormat="1" ht="48">
      <c r="A108" s="58" t="s">
        <v>506</v>
      </c>
      <c r="B108" s="59" t="s">
        <v>481</v>
      </c>
      <c r="C108" s="59"/>
      <c r="D108" s="59"/>
      <c r="E108" s="59"/>
      <c r="F108" s="60">
        <f t="shared" ref="F108:H111" si="20">F109</f>
        <v>400000</v>
      </c>
      <c r="G108" s="273">
        <f t="shared" si="20"/>
        <v>400000</v>
      </c>
      <c r="H108" s="60">
        <f t="shared" si="20"/>
        <v>400000</v>
      </c>
      <c r="I108" s="60">
        <f t="shared" si="13"/>
        <v>100</v>
      </c>
    </row>
    <row r="109" spans="1:9" s="52" customFormat="1" ht="12">
      <c r="A109" s="73" t="s">
        <v>707</v>
      </c>
      <c r="B109" s="59" t="s">
        <v>481</v>
      </c>
      <c r="C109" s="59" t="s">
        <v>71</v>
      </c>
      <c r="D109" s="59"/>
      <c r="E109" s="59"/>
      <c r="F109" s="60">
        <f t="shared" si="20"/>
        <v>400000</v>
      </c>
      <c r="G109" s="273">
        <f t="shared" si="20"/>
        <v>400000</v>
      </c>
      <c r="H109" s="60">
        <f t="shared" si="20"/>
        <v>400000</v>
      </c>
      <c r="I109" s="60">
        <f t="shared" si="13"/>
        <v>100</v>
      </c>
    </row>
    <row r="110" spans="1:9" s="52" customFormat="1" ht="12">
      <c r="A110" s="58" t="s">
        <v>352</v>
      </c>
      <c r="B110" s="59" t="s">
        <v>481</v>
      </c>
      <c r="C110" s="59" t="s">
        <v>71</v>
      </c>
      <c r="D110" s="59" t="s">
        <v>424</v>
      </c>
      <c r="E110" s="59"/>
      <c r="F110" s="60">
        <f t="shared" si="20"/>
        <v>400000</v>
      </c>
      <c r="G110" s="273">
        <f t="shared" si="20"/>
        <v>400000</v>
      </c>
      <c r="H110" s="60">
        <f t="shared" si="20"/>
        <v>400000</v>
      </c>
      <c r="I110" s="60">
        <f t="shared" si="13"/>
        <v>100</v>
      </c>
    </row>
    <row r="111" spans="1:9" s="52" customFormat="1" ht="24">
      <c r="A111" s="65" t="s">
        <v>486</v>
      </c>
      <c r="B111" s="66" t="s">
        <v>481</v>
      </c>
      <c r="C111" s="66" t="s">
        <v>71</v>
      </c>
      <c r="D111" s="66" t="s">
        <v>424</v>
      </c>
      <c r="E111" s="66" t="s">
        <v>77</v>
      </c>
      <c r="F111" s="67">
        <f t="shared" si="20"/>
        <v>400000</v>
      </c>
      <c r="G111" s="272">
        <f t="shared" si="20"/>
        <v>400000</v>
      </c>
      <c r="H111" s="67">
        <f t="shared" si="20"/>
        <v>400000</v>
      </c>
      <c r="I111" s="67">
        <f t="shared" si="13"/>
        <v>100</v>
      </c>
    </row>
    <row r="112" spans="1:9" s="52" customFormat="1" ht="24">
      <c r="A112" s="65" t="s">
        <v>78</v>
      </c>
      <c r="B112" s="66" t="s">
        <v>481</v>
      </c>
      <c r="C112" s="66" t="s">
        <v>71</v>
      </c>
      <c r="D112" s="66" t="s">
        <v>424</v>
      </c>
      <c r="E112" s="66" t="s">
        <v>79</v>
      </c>
      <c r="F112" s="67">
        <v>400000</v>
      </c>
      <c r="G112" s="272">
        <v>400000</v>
      </c>
      <c r="H112" s="67">
        <v>400000</v>
      </c>
      <c r="I112" s="67">
        <f t="shared" si="13"/>
        <v>100</v>
      </c>
    </row>
    <row r="113" spans="1:9" s="207" customFormat="1" ht="24">
      <c r="A113" s="58" t="s">
        <v>482</v>
      </c>
      <c r="B113" s="59" t="s">
        <v>483</v>
      </c>
      <c r="C113" s="59"/>
      <c r="D113" s="59"/>
      <c r="E113" s="59"/>
      <c r="F113" s="60">
        <f t="shared" ref="F113:H116" si="21">F114</f>
        <v>80966</v>
      </c>
      <c r="G113" s="282">
        <f t="shared" si="21"/>
        <v>76609.701000000001</v>
      </c>
      <c r="H113" s="60">
        <f t="shared" si="21"/>
        <v>80966</v>
      </c>
      <c r="I113" s="60">
        <f t="shared" si="13"/>
        <v>100</v>
      </c>
    </row>
    <row r="114" spans="1:9" s="207" customFormat="1" ht="12">
      <c r="A114" s="73" t="s">
        <v>707</v>
      </c>
      <c r="B114" s="59" t="s">
        <v>483</v>
      </c>
      <c r="C114" s="59" t="s">
        <v>71</v>
      </c>
      <c r="D114" s="59"/>
      <c r="E114" s="59"/>
      <c r="F114" s="60">
        <f t="shared" si="21"/>
        <v>80966</v>
      </c>
      <c r="G114" s="282">
        <f t="shared" si="21"/>
        <v>76609.701000000001</v>
      </c>
      <c r="H114" s="60">
        <f t="shared" si="21"/>
        <v>80966</v>
      </c>
      <c r="I114" s="60">
        <f t="shared" si="13"/>
        <v>100</v>
      </c>
    </row>
    <row r="115" spans="1:9" s="207" customFormat="1" ht="12">
      <c r="A115" s="58" t="s">
        <v>352</v>
      </c>
      <c r="B115" s="59" t="s">
        <v>483</v>
      </c>
      <c r="C115" s="59" t="s">
        <v>71</v>
      </c>
      <c r="D115" s="59" t="s">
        <v>424</v>
      </c>
      <c r="E115" s="59"/>
      <c r="F115" s="60">
        <f t="shared" si="21"/>
        <v>80966</v>
      </c>
      <c r="G115" s="282">
        <f t="shared" si="21"/>
        <v>76609.701000000001</v>
      </c>
      <c r="H115" s="60">
        <f t="shared" si="21"/>
        <v>80966</v>
      </c>
      <c r="I115" s="60">
        <f t="shared" si="13"/>
        <v>100</v>
      </c>
    </row>
    <row r="116" spans="1:9" s="207" customFormat="1" ht="24">
      <c r="A116" s="65" t="s">
        <v>486</v>
      </c>
      <c r="B116" s="66" t="s">
        <v>483</v>
      </c>
      <c r="C116" s="66" t="s">
        <v>71</v>
      </c>
      <c r="D116" s="66" t="s">
        <v>424</v>
      </c>
      <c r="E116" s="66" t="s">
        <v>77</v>
      </c>
      <c r="F116" s="67">
        <f t="shared" si="21"/>
        <v>80966</v>
      </c>
      <c r="G116" s="280">
        <f t="shared" si="21"/>
        <v>76609.701000000001</v>
      </c>
      <c r="H116" s="67">
        <f t="shared" si="21"/>
        <v>80966</v>
      </c>
      <c r="I116" s="67">
        <f t="shared" si="13"/>
        <v>100</v>
      </c>
    </row>
    <row r="117" spans="1:9" s="207" customFormat="1" ht="24">
      <c r="A117" s="65" t="s">
        <v>78</v>
      </c>
      <c r="B117" s="66" t="s">
        <v>483</v>
      </c>
      <c r="C117" s="66" t="s">
        <v>71</v>
      </c>
      <c r="D117" s="66" t="s">
        <v>424</v>
      </c>
      <c r="E117" s="66" t="s">
        <v>79</v>
      </c>
      <c r="F117" s="67">
        <v>80966</v>
      </c>
      <c r="G117" s="272">
        <v>76609.701000000001</v>
      </c>
      <c r="H117" s="67">
        <v>80966</v>
      </c>
      <c r="I117" s="67">
        <f t="shared" si="13"/>
        <v>100</v>
      </c>
    </row>
    <row r="118" spans="1:9" s="207" customFormat="1" ht="36">
      <c r="A118" s="85" t="s">
        <v>752</v>
      </c>
      <c r="B118" s="59" t="s">
        <v>753</v>
      </c>
      <c r="C118" s="59"/>
      <c r="D118" s="59"/>
      <c r="E118" s="66"/>
      <c r="F118" s="60">
        <f t="shared" ref="F118:H121" si="22">F119</f>
        <v>100000</v>
      </c>
      <c r="G118" s="273">
        <f t="shared" si="22"/>
        <v>0</v>
      </c>
      <c r="H118" s="60">
        <f t="shared" si="22"/>
        <v>100000</v>
      </c>
      <c r="I118" s="60">
        <f t="shared" si="13"/>
        <v>100</v>
      </c>
    </row>
    <row r="119" spans="1:9" s="207" customFormat="1" ht="12">
      <c r="A119" s="58" t="s">
        <v>103</v>
      </c>
      <c r="B119" s="59" t="s">
        <v>753</v>
      </c>
      <c r="C119" s="59" t="s">
        <v>69</v>
      </c>
      <c r="D119" s="59"/>
      <c r="E119" s="66"/>
      <c r="F119" s="60">
        <f t="shared" si="22"/>
        <v>100000</v>
      </c>
      <c r="G119" s="273">
        <f t="shared" si="22"/>
        <v>0</v>
      </c>
      <c r="H119" s="60">
        <f t="shared" si="22"/>
        <v>100000</v>
      </c>
      <c r="I119" s="60">
        <f t="shared" si="13"/>
        <v>100</v>
      </c>
    </row>
    <row r="120" spans="1:9" s="207" customFormat="1" ht="12">
      <c r="A120" s="58" t="s">
        <v>285</v>
      </c>
      <c r="B120" s="59" t="s">
        <v>753</v>
      </c>
      <c r="C120" s="59" t="s">
        <v>69</v>
      </c>
      <c r="D120" s="59" t="s">
        <v>86</v>
      </c>
      <c r="E120" s="66"/>
      <c r="F120" s="60">
        <f t="shared" si="22"/>
        <v>100000</v>
      </c>
      <c r="G120" s="273">
        <f t="shared" si="22"/>
        <v>0</v>
      </c>
      <c r="H120" s="60">
        <f t="shared" si="22"/>
        <v>100000</v>
      </c>
      <c r="I120" s="60">
        <f t="shared" si="13"/>
        <v>100</v>
      </c>
    </row>
    <row r="121" spans="1:9" s="207" customFormat="1" ht="24">
      <c r="A121" s="65" t="s">
        <v>486</v>
      </c>
      <c r="B121" s="76" t="s">
        <v>753</v>
      </c>
      <c r="C121" s="66" t="s">
        <v>69</v>
      </c>
      <c r="D121" s="66" t="s">
        <v>86</v>
      </c>
      <c r="E121" s="66" t="s">
        <v>77</v>
      </c>
      <c r="F121" s="67">
        <f t="shared" si="22"/>
        <v>100000</v>
      </c>
      <c r="G121" s="272">
        <f t="shared" si="22"/>
        <v>0</v>
      </c>
      <c r="H121" s="67">
        <f t="shared" si="22"/>
        <v>100000</v>
      </c>
      <c r="I121" s="67">
        <f t="shared" si="13"/>
        <v>100</v>
      </c>
    </row>
    <row r="122" spans="1:9" s="207" customFormat="1" ht="24">
      <c r="A122" s="65" t="s">
        <v>78</v>
      </c>
      <c r="B122" s="76" t="s">
        <v>753</v>
      </c>
      <c r="C122" s="66" t="s">
        <v>69</v>
      </c>
      <c r="D122" s="66" t="s">
        <v>86</v>
      </c>
      <c r="E122" s="66" t="s">
        <v>79</v>
      </c>
      <c r="F122" s="67">
        <v>100000</v>
      </c>
      <c r="G122" s="272">
        <v>0</v>
      </c>
      <c r="H122" s="67">
        <v>100000</v>
      </c>
      <c r="I122" s="67">
        <f t="shared" si="13"/>
        <v>100</v>
      </c>
    </row>
    <row r="123" spans="1:9" s="207" customFormat="1" ht="36">
      <c r="A123" s="97" t="s">
        <v>750</v>
      </c>
      <c r="B123" s="59" t="s">
        <v>751</v>
      </c>
      <c r="C123" s="59"/>
      <c r="D123" s="59"/>
      <c r="E123" s="59"/>
      <c r="F123" s="60">
        <f t="shared" ref="F123:H126" si="23">F124</f>
        <v>1964.86</v>
      </c>
      <c r="G123" s="273">
        <f t="shared" si="23"/>
        <v>0</v>
      </c>
      <c r="H123" s="60">
        <f t="shared" si="23"/>
        <v>1964.86</v>
      </c>
      <c r="I123" s="60">
        <f t="shared" si="13"/>
        <v>100</v>
      </c>
    </row>
    <row r="124" spans="1:9" s="207" customFormat="1" ht="12">
      <c r="A124" s="58" t="s">
        <v>103</v>
      </c>
      <c r="B124" s="59" t="s">
        <v>751</v>
      </c>
      <c r="C124" s="59" t="s">
        <v>69</v>
      </c>
      <c r="D124" s="59"/>
      <c r="E124" s="59"/>
      <c r="F124" s="60">
        <f t="shared" si="23"/>
        <v>1964.86</v>
      </c>
      <c r="G124" s="273">
        <f t="shared" si="23"/>
        <v>0</v>
      </c>
      <c r="H124" s="60">
        <f t="shared" si="23"/>
        <v>1964.86</v>
      </c>
      <c r="I124" s="60">
        <f t="shared" si="13"/>
        <v>100</v>
      </c>
    </row>
    <row r="125" spans="1:9" s="207" customFormat="1" ht="12">
      <c r="A125" s="58" t="s">
        <v>285</v>
      </c>
      <c r="B125" s="59" t="s">
        <v>751</v>
      </c>
      <c r="C125" s="59" t="s">
        <v>69</v>
      </c>
      <c r="D125" s="59" t="s">
        <v>86</v>
      </c>
      <c r="E125" s="59"/>
      <c r="F125" s="60">
        <f t="shared" si="23"/>
        <v>1964.86</v>
      </c>
      <c r="G125" s="273">
        <f t="shared" si="23"/>
        <v>0</v>
      </c>
      <c r="H125" s="60">
        <f t="shared" si="23"/>
        <v>1964.86</v>
      </c>
      <c r="I125" s="60">
        <f t="shared" si="13"/>
        <v>100</v>
      </c>
    </row>
    <row r="126" spans="1:9" s="207" customFormat="1" ht="24">
      <c r="A126" s="65" t="s">
        <v>486</v>
      </c>
      <c r="B126" s="66" t="s">
        <v>751</v>
      </c>
      <c r="C126" s="66" t="s">
        <v>69</v>
      </c>
      <c r="D126" s="66" t="s">
        <v>86</v>
      </c>
      <c r="E126" s="66" t="s">
        <v>77</v>
      </c>
      <c r="F126" s="67">
        <f t="shared" si="23"/>
        <v>1964.86</v>
      </c>
      <c r="G126" s="272">
        <f t="shared" si="23"/>
        <v>0</v>
      </c>
      <c r="H126" s="67">
        <f t="shared" si="23"/>
        <v>1964.86</v>
      </c>
      <c r="I126" s="67">
        <f t="shared" si="13"/>
        <v>100</v>
      </c>
    </row>
    <row r="127" spans="1:9" s="207" customFormat="1" ht="24">
      <c r="A127" s="65" t="s">
        <v>78</v>
      </c>
      <c r="B127" s="66" t="s">
        <v>751</v>
      </c>
      <c r="C127" s="66" t="s">
        <v>69</v>
      </c>
      <c r="D127" s="66" t="s">
        <v>86</v>
      </c>
      <c r="E127" s="66" t="s">
        <v>79</v>
      </c>
      <c r="F127" s="67">
        <f>1964.86</f>
        <v>1964.86</v>
      </c>
      <c r="G127" s="272">
        <v>0</v>
      </c>
      <c r="H127" s="67">
        <v>1964.86</v>
      </c>
      <c r="I127" s="67">
        <f t="shared" si="13"/>
        <v>100</v>
      </c>
    </row>
    <row r="128" spans="1:9" s="207" customFormat="1" ht="27">
      <c r="A128" s="69" t="s">
        <v>397</v>
      </c>
      <c r="B128" s="61" t="s">
        <v>295</v>
      </c>
      <c r="C128" s="61"/>
      <c r="D128" s="61"/>
      <c r="E128" s="61"/>
      <c r="F128" s="62">
        <f>F129+F139</f>
        <v>52453.5</v>
      </c>
      <c r="G128" s="303">
        <f>G129+G139</f>
        <v>40226.547500000001</v>
      </c>
      <c r="H128" s="62">
        <f>H129+H139</f>
        <v>52453.5</v>
      </c>
      <c r="I128" s="62">
        <f t="shared" si="13"/>
        <v>100</v>
      </c>
    </row>
    <row r="129" spans="1:9" s="207" customFormat="1" ht="12">
      <c r="A129" s="103" t="s">
        <v>301</v>
      </c>
      <c r="B129" s="104" t="s">
        <v>581</v>
      </c>
      <c r="C129" s="83"/>
      <c r="D129" s="83"/>
      <c r="E129" s="83"/>
      <c r="F129" s="88">
        <f t="shared" ref="F129:H131" si="24">F130</f>
        <v>4615</v>
      </c>
      <c r="G129" s="284">
        <f t="shared" si="24"/>
        <v>3362.8172400000003</v>
      </c>
      <c r="H129" s="88">
        <f t="shared" si="24"/>
        <v>4615</v>
      </c>
      <c r="I129" s="88">
        <f t="shared" si="13"/>
        <v>100</v>
      </c>
    </row>
    <row r="130" spans="1:9" s="52" customFormat="1" ht="12">
      <c r="A130" s="73" t="s">
        <v>707</v>
      </c>
      <c r="B130" s="86" t="s">
        <v>581</v>
      </c>
      <c r="C130" s="59" t="s">
        <v>71</v>
      </c>
      <c r="D130" s="59"/>
      <c r="E130" s="83"/>
      <c r="F130" s="60">
        <f t="shared" si="24"/>
        <v>4615</v>
      </c>
      <c r="G130" s="282">
        <f t="shared" si="24"/>
        <v>3362.8172400000003</v>
      </c>
      <c r="H130" s="60">
        <f t="shared" si="24"/>
        <v>4615</v>
      </c>
      <c r="I130" s="60">
        <f t="shared" si="13"/>
        <v>100</v>
      </c>
    </row>
    <row r="131" spans="1:9" s="52" customFormat="1" ht="12">
      <c r="A131" s="58" t="s">
        <v>352</v>
      </c>
      <c r="B131" s="86" t="s">
        <v>581</v>
      </c>
      <c r="C131" s="59" t="s">
        <v>71</v>
      </c>
      <c r="D131" s="59" t="s">
        <v>424</v>
      </c>
      <c r="E131" s="83"/>
      <c r="F131" s="60">
        <f t="shared" si="24"/>
        <v>4615</v>
      </c>
      <c r="G131" s="282">
        <f t="shared" si="24"/>
        <v>3362.8172400000003</v>
      </c>
      <c r="H131" s="60">
        <f t="shared" si="24"/>
        <v>4615</v>
      </c>
      <c r="I131" s="60">
        <f t="shared" si="13"/>
        <v>100</v>
      </c>
    </row>
    <row r="132" spans="1:9" s="52" customFormat="1" ht="24">
      <c r="A132" s="58" t="s">
        <v>425</v>
      </c>
      <c r="B132" s="59" t="s">
        <v>581</v>
      </c>
      <c r="C132" s="59" t="s">
        <v>71</v>
      </c>
      <c r="D132" s="59" t="s">
        <v>424</v>
      </c>
      <c r="E132" s="59"/>
      <c r="F132" s="60">
        <f>F133+F135+F137</f>
        <v>4615</v>
      </c>
      <c r="G132" s="282">
        <f>G133+G135+G137</f>
        <v>3362.8172400000003</v>
      </c>
      <c r="H132" s="60">
        <f>H133+H135+H137</f>
        <v>4615</v>
      </c>
      <c r="I132" s="60">
        <f t="shared" si="13"/>
        <v>100</v>
      </c>
    </row>
    <row r="133" spans="1:9" s="52" customFormat="1" ht="36">
      <c r="A133" s="65" t="s">
        <v>72</v>
      </c>
      <c r="B133" s="66" t="s">
        <v>581</v>
      </c>
      <c r="C133" s="66" t="s">
        <v>71</v>
      </c>
      <c r="D133" s="66" t="s">
        <v>424</v>
      </c>
      <c r="E133" s="66" t="s">
        <v>73</v>
      </c>
      <c r="F133" s="67">
        <f>F134</f>
        <v>4020</v>
      </c>
      <c r="G133" s="280">
        <f>G134</f>
        <v>2894.6932400000001</v>
      </c>
      <c r="H133" s="67">
        <f>H134</f>
        <v>4020</v>
      </c>
      <c r="I133" s="67">
        <f t="shared" si="13"/>
        <v>100</v>
      </c>
    </row>
    <row r="134" spans="1:9" s="52" customFormat="1" ht="12">
      <c r="A134" s="65" t="s">
        <v>426</v>
      </c>
      <c r="B134" s="66" t="s">
        <v>581</v>
      </c>
      <c r="C134" s="66" t="s">
        <v>71</v>
      </c>
      <c r="D134" s="66" t="s">
        <v>424</v>
      </c>
      <c r="E134" s="66" t="s">
        <v>427</v>
      </c>
      <c r="F134" s="67">
        <v>4020</v>
      </c>
      <c r="G134" s="280">
        <v>2894.6932400000001</v>
      </c>
      <c r="H134" s="67">
        <v>4020</v>
      </c>
      <c r="I134" s="67">
        <f t="shared" si="13"/>
        <v>100</v>
      </c>
    </row>
    <row r="135" spans="1:9" s="52" customFormat="1" ht="24">
      <c r="A135" s="65" t="s">
        <v>486</v>
      </c>
      <c r="B135" s="66" t="s">
        <v>581</v>
      </c>
      <c r="C135" s="66" t="s">
        <v>71</v>
      </c>
      <c r="D135" s="66" t="s">
        <v>424</v>
      </c>
      <c r="E135" s="66" t="s">
        <v>77</v>
      </c>
      <c r="F135" s="67">
        <f>F136</f>
        <v>400</v>
      </c>
      <c r="G135" s="280">
        <f>G136</f>
        <v>302.10500000000002</v>
      </c>
      <c r="H135" s="67">
        <f>H136</f>
        <v>400</v>
      </c>
      <c r="I135" s="67">
        <f t="shared" ref="I135:I198" si="25">H135/F135*100</f>
        <v>100</v>
      </c>
    </row>
    <row r="136" spans="1:9" s="52" customFormat="1" ht="24">
      <c r="A136" s="65" t="s">
        <v>78</v>
      </c>
      <c r="B136" s="66" t="s">
        <v>581</v>
      </c>
      <c r="C136" s="66" t="s">
        <v>71</v>
      </c>
      <c r="D136" s="66" t="s">
        <v>424</v>
      </c>
      <c r="E136" s="66" t="s">
        <v>79</v>
      </c>
      <c r="F136" s="67">
        <v>400</v>
      </c>
      <c r="G136" s="280">
        <v>302.10500000000002</v>
      </c>
      <c r="H136" s="67">
        <v>400</v>
      </c>
      <c r="I136" s="67">
        <f t="shared" si="25"/>
        <v>100</v>
      </c>
    </row>
    <row r="137" spans="1:9" s="52" customFormat="1" ht="12">
      <c r="A137" s="65" t="s">
        <v>80</v>
      </c>
      <c r="B137" s="66" t="s">
        <v>581</v>
      </c>
      <c r="C137" s="66" t="s">
        <v>71</v>
      </c>
      <c r="D137" s="66" t="s">
        <v>424</v>
      </c>
      <c r="E137" s="66" t="s">
        <v>81</v>
      </c>
      <c r="F137" s="67">
        <f>F138</f>
        <v>195</v>
      </c>
      <c r="G137" s="280">
        <f>G138</f>
        <v>166.01900000000001</v>
      </c>
      <c r="H137" s="67">
        <f>H138</f>
        <v>195</v>
      </c>
      <c r="I137" s="67">
        <f t="shared" si="25"/>
        <v>100</v>
      </c>
    </row>
    <row r="138" spans="1:9" s="52" customFormat="1" ht="12">
      <c r="A138" s="65" t="s">
        <v>445</v>
      </c>
      <c r="B138" s="66" t="s">
        <v>581</v>
      </c>
      <c r="C138" s="66" t="s">
        <v>71</v>
      </c>
      <c r="D138" s="66" t="s">
        <v>424</v>
      </c>
      <c r="E138" s="66" t="s">
        <v>82</v>
      </c>
      <c r="F138" s="67">
        <v>195</v>
      </c>
      <c r="G138" s="280">
        <v>166.01900000000001</v>
      </c>
      <c r="H138" s="67">
        <v>195</v>
      </c>
      <c r="I138" s="67">
        <f t="shared" si="25"/>
        <v>100</v>
      </c>
    </row>
    <row r="139" spans="1:9" s="52" customFormat="1" ht="12">
      <c r="A139" s="74" t="s">
        <v>302</v>
      </c>
      <c r="B139" s="75" t="s">
        <v>582</v>
      </c>
      <c r="C139" s="71"/>
      <c r="D139" s="71"/>
      <c r="E139" s="71"/>
      <c r="F139" s="72">
        <f t="shared" ref="F139:H142" si="26">F140</f>
        <v>47838.5</v>
      </c>
      <c r="G139" s="281">
        <f t="shared" si="26"/>
        <v>36863.730259999997</v>
      </c>
      <c r="H139" s="72">
        <f t="shared" si="26"/>
        <v>47838.5</v>
      </c>
      <c r="I139" s="72">
        <f t="shared" si="25"/>
        <v>100</v>
      </c>
    </row>
    <row r="140" spans="1:9" s="52" customFormat="1" ht="12">
      <c r="A140" s="73" t="s">
        <v>707</v>
      </c>
      <c r="B140" s="86" t="s">
        <v>582</v>
      </c>
      <c r="C140" s="59" t="s">
        <v>71</v>
      </c>
      <c r="D140" s="59"/>
      <c r="E140" s="71"/>
      <c r="F140" s="60">
        <f t="shared" si="26"/>
        <v>47838.5</v>
      </c>
      <c r="G140" s="282">
        <f t="shared" si="26"/>
        <v>36863.730259999997</v>
      </c>
      <c r="H140" s="60">
        <f t="shared" si="26"/>
        <v>47838.5</v>
      </c>
      <c r="I140" s="60">
        <f t="shared" si="25"/>
        <v>100</v>
      </c>
    </row>
    <row r="141" spans="1:9" s="52" customFormat="1" ht="12">
      <c r="A141" s="58" t="s">
        <v>352</v>
      </c>
      <c r="B141" s="86" t="s">
        <v>582</v>
      </c>
      <c r="C141" s="59" t="s">
        <v>71</v>
      </c>
      <c r="D141" s="59" t="s">
        <v>424</v>
      </c>
      <c r="E141" s="71"/>
      <c r="F141" s="60">
        <f t="shared" si="26"/>
        <v>47838.5</v>
      </c>
      <c r="G141" s="282">
        <f t="shared" si="26"/>
        <v>36863.730259999997</v>
      </c>
      <c r="H141" s="60">
        <f t="shared" si="26"/>
        <v>47838.5</v>
      </c>
      <c r="I141" s="60">
        <f t="shared" si="25"/>
        <v>100</v>
      </c>
    </row>
    <row r="142" spans="1:9" s="52" customFormat="1" ht="24">
      <c r="A142" s="65" t="s">
        <v>94</v>
      </c>
      <c r="B142" s="66" t="s">
        <v>582</v>
      </c>
      <c r="C142" s="66" t="s">
        <v>71</v>
      </c>
      <c r="D142" s="66" t="s">
        <v>424</v>
      </c>
      <c r="E142" s="66" t="s">
        <v>362</v>
      </c>
      <c r="F142" s="67">
        <f t="shared" si="26"/>
        <v>47838.5</v>
      </c>
      <c r="G142" s="280">
        <f t="shared" si="26"/>
        <v>36863.730259999997</v>
      </c>
      <c r="H142" s="67">
        <f t="shared" si="26"/>
        <v>47838.5</v>
      </c>
      <c r="I142" s="67">
        <f t="shared" si="25"/>
        <v>100</v>
      </c>
    </row>
    <row r="143" spans="1:9" s="52" customFormat="1" ht="12">
      <c r="A143" s="65" t="s">
        <v>95</v>
      </c>
      <c r="B143" s="66" t="s">
        <v>582</v>
      </c>
      <c r="C143" s="66" t="s">
        <v>71</v>
      </c>
      <c r="D143" s="66" t="s">
        <v>424</v>
      </c>
      <c r="E143" s="66" t="s">
        <v>371</v>
      </c>
      <c r="F143" s="67">
        <v>47838.5</v>
      </c>
      <c r="G143" s="280">
        <v>36863.730259999997</v>
      </c>
      <c r="H143" s="67">
        <v>47838.5</v>
      </c>
      <c r="I143" s="67">
        <f t="shared" si="25"/>
        <v>100</v>
      </c>
    </row>
    <row r="144" spans="1:9" s="52" customFormat="1" ht="27">
      <c r="A144" s="138" t="s">
        <v>671</v>
      </c>
      <c r="B144" s="172" t="s">
        <v>225</v>
      </c>
      <c r="C144" s="137"/>
      <c r="D144" s="137"/>
      <c r="E144" s="137"/>
      <c r="F144" s="136">
        <f>F145+F150+F155+F160+F165+F170+F175+F180+F185+F194+F199+F204</f>
        <v>409404.16199999995</v>
      </c>
      <c r="G144" s="136">
        <f>G145+G150+G155+G160+G165+G170+G175+G180+G185+G194+G199+G204</f>
        <v>312105.57267999998</v>
      </c>
      <c r="H144" s="136">
        <f>H145+H150+H155+H160+H165+H170+H175+H180+H185+H194+H199+H204</f>
        <v>403404.16199999995</v>
      </c>
      <c r="I144" s="136">
        <f t="shared" si="25"/>
        <v>98.534455543712824</v>
      </c>
    </row>
    <row r="145" spans="1:9" s="52" customFormat="1" ht="12">
      <c r="A145" s="85" t="s">
        <v>491</v>
      </c>
      <c r="B145" s="59" t="s">
        <v>601</v>
      </c>
      <c r="C145" s="59"/>
      <c r="D145" s="59"/>
      <c r="E145" s="59"/>
      <c r="F145" s="60">
        <f t="shared" ref="F145:H148" si="27">F146</f>
        <v>16800</v>
      </c>
      <c r="G145" s="282">
        <f t="shared" si="27"/>
        <v>7419.6350000000002</v>
      </c>
      <c r="H145" s="60">
        <f t="shared" si="27"/>
        <v>11800</v>
      </c>
      <c r="I145" s="60">
        <f t="shared" si="25"/>
        <v>70.238095238095227</v>
      </c>
    </row>
    <row r="146" spans="1:9" s="52" customFormat="1" ht="12">
      <c r="A146" s="85" t="s">
        <v>333</v>
      </c>
      <c r="B146" s="59" t="s">
        <v>601</v>
      </c>
      <c r="C146" s="59" t="s">
        <v>376</v>
      </c>
      <c r="D146" s="59"/>
      <c r="E146" s="59"/>
      <c r="F146" s="60">
        <f t="shared" si="27"/>
        <v>16800</v>
      </c>
      <c r="G146" s="282">
        <f t="shared" si="27"/>
        <v>7419.6350000000002</v>
      </c>
      <c r="H146" s="60">
        <f t="shared" si="27"/>
        <v>11800</v>
      </c>
      <c r="I146" s="60">
        <f t="shared" si="25"/>
        <v>70.238095238095227</v>
      </c>
    </row>
    <row r="147" spans="1:9" s="52" customFormat="1" ht="12">
      <c r="A147" s="85" t="s">
        <v>698</v>
      </c>
      <c r="B147" s="59" t="s">
        <v>601</v>
      </c>
      <c r="C147" s="59" t="s">
        <v>376</v>
      </c>
      <c r="D147" s="59" t="s">
        <v>423</v>
      </c>
      <c r="E147" s="59"/>
      <c r="F147" s="60">
        <f t="shared" si="27"/>
        <v>16800</v>
      </c>
      <c r="G147" s="282">
        <f t="shared" si="27"/>
        <v>7419.6350000000002</v>
      </c>
      <c r="H147" s="60">
        <f t="shared" si="27"/>
        <v>11800</v>
      </c>
      <c r="I147" s="60">
        <f t="shared" si="25"/>
        <v>70.238095238095227</v>
      </c>
    </row>
    <row r="148" spans="1:9" s="52" customFormat="1" ht="24">
      <c r="A148" s="65" t="s">
        <v>486</v>
      </c>
      <c r="B148" s="66" t="s">
        <v>601</v>
      </c>
      <c r="C148" s="66" t="s">
        <v>376</v>
      </c>
      <c r="D148" s="66" t="s">
        <v>423</v>
      </c>
      <c r="E148" s="66" t="s">
        <v>77</v>
      </c>
      <c r="F148" s="67">
        <f t="shared" si="27"/>
        <v>16800</v>
      </c>
      <c r="G148" s="280">
        <f t="shared" si="27"/>
        <v>7419.6350000000002</v>
      </c>
      <c r="H148" s="67">
        <f t="shared" si="27"/>
        <v>11800</v>
      </c>
      <c r="I148" s="67">
        <f t="shared" si="25"/>
        <v>70.238095238095227</v>
      </c>
    </row>
    <row r="149" spans="1:9" s="52" customFormat="1" ht="24">
      <c r="A149" s="65" t="s">
        <v>78</v>
      </c>
      <c r="B149" s="66" t="s">
        <v>601</v>
      </c>
      <c r="C149" s="66" t="s">
        <v>376</v>
      </c>
      <c r="D149" s="66" t="s">
        <v>423</v>
      </c>
      <c r="E149" s="66" t="s">
        <v>79</v>
      </c>
      <c r="F149" s="67">
        <v>16800</v>
      </c>
      <c r="G149" s="280">
        <v>7419.6350000000002</v>
      </c>
      <c r="H149" s="67">
        <f>16800-5000</f>
        <v>11800</v>
      </c>
      <c r="I149" s="67">
        <f t="shared" si="25"/>
        <v>70.238095238095227</v>
      </c>
    </row>
    <row r="150" spans="1:9" s="52" customFormat="1" ht="12">
      <c r="A150" s="58" t="s">
        <v>492</v>
      </c>
      <c r="B150" s="59" t="s">
        <v>602</v>
      </c>
      <c r="C150" s="59"/>
      <c r="D150" s="59"/>
      <c r="E150" s="59"/>
      <c r="F150" s="60">
        <f t="shared" ref="F150:H153" si="28">F151</f>
        <v>1000</v>
      </c>
      <c r="G150" s="273">
        <f t="shared" si="28"/>
        <v>0</v>
      </c>
      <c r="H150" s="60">
        <f t="shared" si="28"/>
        <v>0</v>
      </c>
      <c r="I150" s="78">
        <f t="shared" si="25"/>
        <v>0</v>
      </c>
    </row>
    <row r="151" spans="1:9" s="52" customFormat="1" ht="12">
      <c r="A151" s="85" t="s">
        <v>333</v>
      </c>
      <c r="B151" s="59" t="s">
        <v>602</v>
      </c>
      <c r="C151" s="59" t="s">
        <v>376</v>
      </c>
      <c r="D151" s="59"/>
      <c r="E151" s="59"/>
      <c r="F151" s="60">
        <f t="shared" si="28"/>
        <v>1000</v>
      </c>
      <c r="G151" s="273">
        <f t="shared" si="28"/>
        <v>0</v>
      </c>
      <c r="H151" s="60">
        <f t="shared" si="28"/>
        <v>0</v>
      </c>
      <c r="I151" s="78">
        <f t="shared" si="25"/>
        <v>0</v>
      </c>
    </row>
    <row r="152" spans="1:9" s="52" customFormat="1" ht="12">
      <c r="A152" s="85" t="s">
        <v>698</v>
      </c>
      <c r="B152" s="59" t="s">
        <v>602</v>
      </c>
      <c r="C152" s="59" t="s">
        <v>376</v>
      </c>
      <c r="D152" s="59" t="s">
        <v>423</v>
      </c>
      <c r="E152" s="59"/>
      <c r="F152" s="60">
        <f t="shared" si="28"/>
        <v>1000</v>
      </c>
      <c r="G152" s="273">
        <f t="shared" si="28"/>
        <v>0</v>
      </c>
      <c r="H152" s="60">
        <f t="shared" si="28"/>
        <v>0</v>
      </c>
      <c r="I152" s="78">
        <f t="shared" si="25"/>
        <v>0</v>
      </c>
    </row>
    <row r="153" spans="1:9" s="52" customFormat="1" ht="24">
      <c r="A153" s="65" t="s">
        <v>486</v>
      </c>
      <c r="B153" s="66" t="s">
        <v>602</v>
      </c>
      <c r="C153" s="66" t="s">
        <v>376</v>
      </c>
      <c r="D153" s="66" t="s">
        <v>423</v>
      </c>
      <c r="E153" s="66" t="s">
        <v>77</v>
      </c>
      <c r="F153" s="67">
        <f t="shared" si="28"/>
        <v>1000</v>
      </c>
      <c r="G153" s="272">
        <f t="shared" si="28"/>
        <v>0</v>
      </c>
      <c r="H153" s="67">
        <f t="shared" si="28"/>
        <v>0</v>
      </c>
      <c r="I153" s="79">
        <f t="shared" si="25"/>
        <v>0</v>
      </c>
    </row>
    <row r="154" spans="1:9" s="52" customFormat="1" ht="24">
      <c r="A154" s="65" t="s">
        <v>78</v>
      </c>
      <c r="B154" s="66" t="s">
        <v>602</v>
      </c>
      <c r="C154" s="66" t="s">
        <v>376</v>
      </c>
      <c r="D154" s="66" t="s">
        <v>423</v>
      </c>
      <c r="E154" s="66" t="s">
        <v>79</v>
      </c>
      <c r="F154" s="67">
        <f>3000-2000</f>
        <v>1000</v>
      </c>
      <c r="G154" s="272">
        <v>0</v>
      </c>
      <c r="H154" s="67">
        <f>1000-1000</f>
        <v>0</v>
      </c>
      <c r="I154" s="79">
        <f t="shared" si="25"/>
        <v>0</v>
      </c>
    </row>
    <row r="155" spans="1:9" s="52" customFormat="1" ht="12">
      <c r="A155" s="58" t="s">
        <v>493</v>
      </c>
      <c r="B155" s="59" t="s">
        <v>603</v>
      </c>
      <c r="C155" s="59"/>
      <c r="D155" s="59"/>
      <c r="E155" s="59"/>
      <c r="F155" s="78">
        <f t="shared" ref="F155:H158" si="29">F156</f>
        <v>1000</v>
      </c>
      <c r="G155" s="273">
        <f t="shared" si="29"/>
        <v>1000</v>
      </c>
      <c r="H155" s="78">
        <f t="shared" si="29"/>
        <v>1000</v>
      </c>
      <c r="I155" s="60">
        <f t="shared" si="25"/>
        <v>100</v>
      </c>
    </row>
    <row r="156" spans="1:9" s="52" customFormat="1" ht="12">
      <c r="A156" s="85" t="s">
        <v>333</v>
      </c>
      <c r="B156" s="59" t="s">
        <v>603</v>
      </c>
      <c r="C156" s="59" t="s">
        <v>376</v>
      </c>
      <c r="D156" s="59"/>
      <c r="E156" s="59"/>
      <c r="F156" s="78">
        <f t="shared" si="29"/>
        <v>1000</v>
      </c>
      <c r="G156" s="273">
        <f t="shared" si="29"/>
        <v>1000</v>
      </c>
      <c r="H156" s="78">
        <f t="shared" si="29"/>
        <v>1000</v>
      </c>
      <c r="I156" s="60">
        <f t="shared" si="25"/>
        <v>100</v>
      </c>
    </row>
    <row r="157" spans="1:9" s="52" customFormat="1" ht="12">
      <c r="A157" s="85" t="s">
        <v>698</v>
      </c>
      <c r="B157" s="59" t="s">
        <v>603</v>
      </c>
      <c r="C157" s="59" t="s">
        <v>376</v>
      </c>
      <c r="D157" s="59" t="s">
        <v>423</v>
      </c>
      <c r="E157" s="59"/>
      <c r="F157" s="78">
        <f t="shared" si="29"/>
        <v>1000</v>
      </c>
      <c r="G157" s="273">
        <f t="shared" si="29"/>
        <v>1000</v>
      </c>
      <c r="H157" s="78">
        <f t="shared" si="29"/>
        <v>1000</v>
      </c>
      <c r="I157" s="60">
        <f t="shared" si="25"/>
        <v>100</v>
      </c>
    </row>
    <row r="158" spans="1:9" s="52" customFormat="1" ht="24">
      <c r="A158" s="65" t="s">
        <v>486</v>
      </c>
      <c r="B158" s="66" t="s">
        <v>603</v>
      </c>
      <c r="C158" s="66" t="s">
        <v>376</v>
      </c>
      <c r="D158" s="66" t="s">
        <v>423</v>
      </c>
      <c r="E158" s="66" t="s">
        <v>77</v>
      </c>
      <c r="F158" s="79">
        <f t="shared" si="29"/>
        <v>1000</v>
      </c>
      <c r="G158" s="272">
        <f t="shared" si="29"/>
        <v>1000</v>
      </c>
      <c r="H158" s="79">
        <f t="shared" si="29"/>
        <v>1000</v>
      </c>
      <c r="I158" s="67">
        <f t="shared" si="25"/>
        <v>100</v>
      </c>
    </row>
    <row r="159" spans="1:9" s="52" customFormat="1" ht="24">
      <c r="A159" s="65" t="s">
        <v>78</v>
      </c>
      <c r="B159" s="66" t="s">
        <v>603</v>
      </c>
      <c r="C159" s="66" t="s">
        <v>376</v>
      </c>
      <c r="D159" s="66" t="s">
        <v>423</v>
      </c>
      <c r="E159" s="66" t="s">
        <v>79</v>
      </c>
      <c r="F159" s="79">
        <v>1000</v>
      </c>
      <c r="G159" s="272">
        <v>1000</v>
      </c>
      <c r="H159" s="79">
        <v>1000</v>
      </c>
      <c r="I159" s="67">
        <f t="shared" si="25"/>
        <v>100</v>
      </c>
    </row>
    <row r="160" spans="1:9" s="52" customFormat="1" ht="12">
      <c r="A160" s="58" t="s">
        <v>312</v>
      </c>
      <c r="B160" s="59" t="s">
        <v>604</v>
      </c>
      <c r="C160" s="59"/>
      <c r="D160" s="59"/>
      <c r="E160" s="59"/>
      <c r="F160" s="60">
        <f t="shared" ref="F160:H163" si="30">F161</f>
        <v>2000</v>
      </c>
      <c r="G160" s="282">
        <f t="shared" si="30"/>
        <v>907.47400000000005</v>
      </c>
      <c r="H160" s="60">
        <f t="shared" si="30"/>
        <v>2000</v>
      </c>
      <c r="I160" s="60">
        <f t="shared" si="25"/>
        <v>100</v>
      </c>
    </row>
    <row r="161" spans="1:9" s="52" customFormat="1" ht="12">
      <c r="A161" s="85" t="s">
        <v>333</v>
      </c>
      <c r="B161" s="59" t="s">
        <v>604</v>
      </c>
      <c r="C161" s="59" t="s">
        <v>376</v>
      </c>
      <c r="D161" s="59"/>
      <c r="E161" s="59"/>
      <c r="F161" s="60">
        <f t="shared" si="30"/>
        <v>2000</v>
      </c>
      <c r="G161" s="282">
        <f t="shared" si="30"/>
        <v>907.47400000000005</v>
      </c>
      <c r="H161" s="60">
        <f t="shared" si="30"/>
        <v>2000</v>
      </c>
      <c r="I161" s="60">
        <f t="shared" si="25"/>
        <v>100</v>
      </c>
    </row>
    <row r="162" spans="1:9" s="52" customFormat="1" ht="12">
      <c r="A162" s="85" t="s">
        <v>698</v>
      </c>
      <c r="B162" s="59" t="s">
        <v>604</v>
      </c>
      <c r="C162" s="59" t="s">
        <v>376</v>
      </c>
      <c r="D162" s="59" t="s">
        <v>423</v>
      </c>
      <c r="E162" s="59"/>
      <c r="F162" s="60">
        <f t="shared" si="30"/>
        <v>2000</v>
      </c>
      <c r="G162" s="282">
        <f t="shared" si="30"/>
        <v>907.47400000000005</v>
      </c>
      <c r="H162" s="60">
        <f t="shared" si="30"/>
        <v>2000</v>
      </c>
      <c r="I162" s="60">
        <f t="shared" si="25"/>
        <v>100</v>
      </c>
    </row>
    <row r="163" spans="1:9" s="52" customFormat="1" ht="24">
      <c r="A163" s="65" t="s">
        <v>486</v>
      </c>
      <c r="B163" s="66" t="s">
        <v>604</v>
      </c>
      <c r="C163" s="66" t="s">
        <v>376</v>
      </c>
      <c r="D163" s="66" t="s">
        <v>423</v>
      </c>
      <c r="E163" s="66" t="s">
        <v>77</v>
      </c>
      <c r="F163" s="67">
        <f t="shared" si="30"/>
        <v>2000</v>
      </c>
      <c r="G163" s="280">
        <f t="shared" si="30"/>
        <v>907.47400000000005</v>
      </c>
      <c r="H163" s="67">
        <f t="shared" si="30"/>
        <v>2000</v>
      </c>
      <c r="I163" s="67">
        <f t="shared" si="25"/>
        <v>100</v>
      </c>
    </row>
    <row r="164" spans="1:9" s="52" customFormat="1" ht="24">
      <c r="A164" s="65" t="s">
        <v>78</v>
      </c>
      <c r="B164" s="66" t="s">
        <v>604</v>
      </c>
      <c r="C164" s="66" t="s">
        <v>376</v>
      </c>
      <c r="D164" s="66" t="s">
        <v>423</v>
      </c>
      <c r="E164" s="66" t="s">
        <v>79</v>
      </c>
      <c r="F164" s="67">
        <v>2000</v>
      </c>
      <c r="G164" s="280">
        <v>907.47400000000005</v>
      </c>
      <c r="H164" s="67">
        <v>2000</v>
      </c>
      <c r="I164" s="67">
        <f t="shared" si="25"/>
        <v>100</v>
      </c>
    </row>
    <row r="165" spans="1:9" s="52" customFormat="1" ht="24">
      <c r="A165" s="85" t="s">
        <v>303</v>
      </c>
      <c r="B165" s="59" t="s">
        <v>605</v>
      </c>
      <c r="C165" s="59"/>
      <c r="D165" s="59"/>
      <c r="E165" s="59"/>
      <c r="F165" s="60">
        <f t="shared" ref="F165:H168" si="31">F166</f>
        <v>11647.64</v>
      </c>
      <c r="G165" s="282">
        <f t="shared" si="31"/>
        <v>9372.491</v>
      </c>
      <c r="H165" s="60">
        <f t="shared" si="31"/>
        <v>11647.64</v>
      </c>
      <c r="I165" s="60">
        <f t="shared" si="25"/>
        <v>100</v>
      </c>
    </row>
    <row r="166" spans="1:9" s="52" customFormat="1" ht="12">
      <c r="A166" s="85" t="s">
        <v>333</v>
      </c>
      <c r="B166" s="59" t="s">
        <v>605</v>
      </c>
      <c r="C166" s="59" t="s">
        <v>376</v>
      </c>
      <c r="D166" s="59"/>
      <c r="E166" s="59"/>
      <c r="F166" s="60">
        <f t="shared" si="31"/>
        <v>11647.64</v>
      </c>
      <c r="G166" s="282">
        <f t="shared" si="31"/>
        <v>9372.491</v>
      </c>
      <c r="H166" s="60">
        <f t="shared" si="31"/>
        <v>11647.64</v>
      </c>
      <c r="I166" s="60">
        <f t="shared" si="25"/>
        <v>100</v>
      </c>
    </row>
    <row r="167" spans="1:9" s="52" customFormat="1" ht="12">
      <c r="A167" s="85" t="s">
        <v>698</v>
      </c>
      <c r="B167" s="59" t="s">
        <v>605</v>
      </c>
      <c r="C167" s="59" t="s">
        <v>376</v>
      </c>
      <c r="D167" s="59" t="s">
        <v>423</v>
      </c>
      <c r="E167" s="59"/>
      <c r="F167" s="60">
        <f t="shared" si="31"/>
        <v>11647.64</v>
      </c>
      <c r="G167" s="282">
        <f t="shared" si="31"/>
        <v>9372.491</v>
      </c>
      <c r="H167" s="60">
        <f t="shared" si="31"/>
        <v>11647.64</v>
      </c>
      <c r="I167" s="60">
        <f t="shared" si="25"/>
        <v>100</v>
      </c>
    </row>
    <row r="168" spans="1:9" s="52" customFormat="1" ht="24">
      <c r="A168" s="65" t="s">
        <v>486</v>
      </c>
      <c r="B168" s="66" t="s">
        <v>605</v>
      </c>
      <c r="C168" s="66" t="s">
        <v>376</v>
      </c>
      <c r="D168" s="66" t="s">
        <v>423</v>
      </c>
      <c r="E168" s="66" t="s">
        <v>77</v>
      </c>
      <c r="F168" s="67">
        <f t="shared" si="31"/>
        <v>11647.64</v>
      </c>
      <c r="G168" s="280">
        <f t="shared" si="31"/>
        <v>9372.491</v>
      </c>
      <c r="H168" s="67">
        <f t="shared" si="31"/>
        <v>11647.64</v>
      </c>
      <c r="I168" s="67">
        <f t="shared" si="25"/>
        <v>100</v>
      </c>
    </row>
    <row r="169" spans="1:9" s="52" customFormat="1" ht="24">
      <c r="A169" s="65" t="s">
        <v>78</v>
      </c>
      <c r="B169" s="66" t="s">
        <v>605</v>
      </c>
      <c r="C169" s="66" t="s">
        <v>376</v>
      </c>
      <c r="D169" s="66" t="s">
        <v>423</v>
      </c>
      <c r="E169" s="66" t="s">
        <v>79</v>
      </c>
      <c r="F169" s="67">
        <f>2000+2647.64+7000</f>
        <v>11647.64</v>
      </c>
      <c r="G169" s="280">
        <v>9372.491</v>
      </c>
      <c r="H169" s="67">
        <v>11647.64</v>
      </c>
      <c r="I169" s="67">
        <f t="shared" si="25"/>
        <v>100</v>
      </c>
    </row>
    <row r="170" spans="1:9" s="52" customFormat="1" ht="14.25" customHeight="1">
      <c r="A170" s="85" t="s">
        <v>304</v>
      </c>
      <c r="B170" s="94" t="s">
        <v>606</v>
      </c>
      <c r="C170" s="59"/>
      <c r="D170" s="59"/>
      <c r="E170" s="94"/>
      <c r="F170" s="60">
        <f t="shared" ref="F170:H173" si="32">F171</f>
        <v>1500</v>
      </c>
      <c r="G170" s="282">
        <f t="shared" si="32"/>
        <v>250</v>
      </c>
      <c r="H170" s="60">
        <f t="shared" si="32"/>
        <v>1500</v>
      </c>
      <c r="I170" s="60">
        <f t="shared" si="25"/>
        <v>100</v>
      </c>
    </row>
    <row r="171" spans="1:9" s="52" customFormat="1" ht="12">
      <c r="A171" s="85" t="s">
        <v>333</v>
      </c>
      <c r="B171" s="94" t="s">
        <v>606</v>
      </c>
      <c r="C171" s="59" t="s">
        <v>376</v>
      </c>
      <c r="D171" s="59"/>
      <c r="E171" s="94"/>
      <c r="F171" s="60">
        <f t="shared" si="32"/>
        <v>1500</v>
      </c>
      <c r="G171" s="282">
        <f t="shared" si="32"/>
        <v>250</v>
      </c>
      <c r="H171" s="60">
        <f t="shared" si="32"/>
        <v>1500</v>
      </c>
      <c r="I171" s="60">
        <f t="shared" si="25"/>
        <v>100</v>
      </c>
    </row>
    <row r="172" spans="1:9" s="52" customFormat="1" ht="12">
      <c r="A172" s="85" t="s">
        <v>698</v>
      </c>
      <c r="B172" s="94" t="s">
        <v>606</v>
      </c>
      <c r="C172" s="59" t="s">
        <v>376</v>
      </c>
      <c r="D172" s="59" t="s">
        <v>423</v>
      </c>
      <c r="E172" s="94"/>
      <c r="F172" s="60">
        <f t="shared" si="32"/>
        <v>1500</v>
      </c>
      <c r="G172" s="282">
        <f t="shared" si="32"/>
        <v>250</v>
      </c>
      <c r="H172" s="60">
        <f t="shared" si="32"/>
        <v>1500</v>
      </c>
      <c r="I172" s="60">
        <f t="shared" si="25"/>
        <v>100</v>
      </c>
    </row>
    <row r="173" spans="1:9" s="52" customFormat="1" ht="24">
      <c r="A173" s="65" t="s">
        <v>486</v>
      </c>
      <c r="B173" s="81" t="s">
        <v>606</v>
      </c>
      <c r="C173" s="66" t="s">
        <v>376</v>
      </c>
      <c r="D173" s="66" t="s">
        <v>423</v>
      </c>
      <c r="E173" s="66" t="s">
        <v>77</v>
      </c>
      <c r="F173" s="67">
        <f t="shared" si="32"/>
        <v>1500</v>
      </c>
      <c r="G173" s="280">
        <f t="shared" si="32"/>
        <v>250</v>
      </c>
      <c r="H173" s="67">
        <f t="shared" si="32"/>
        <v>1500</v>
      </c>
      <c r="I173" s="67">
        <f t="shared" si="25"/>
        <v>100</v>
      </c>
    </row>
    <row r="174" spans="1:9" s="52" customFormat="1" ht="24">
      <c r="A174" s="65" t="s">
        <v>78</v>
      </c>
      <c r="B174" s="81" t="s">
        <v>606</v>
      </c>
      <c r="C174" s="66" t="s">
        <v>376</v>
      </c>
      <c r="D174" s="66" t="s">
        <v>423</v>
      </c>
      <c r="E174" s="66" t="s">
        <v>79</v>
      </c>
      <c r="F174" s="67">
        <v>1500</v>
      </c>
      <c r="G174" s="280">
        <v>250</v>
      </c>
      <c r="H174" s="67">
        <v>1500</v>
      </c>
      <c r="I174" s="67">
        <f t="shared" si="25"/>
        <v>100</v>
      </c>
    </row>
    <row r="175" spans="1:9" s="52" customFormat="1" ht="12">
      <c r="A175" s="58" t="s">
        <v>214</v>
      </c>
      <c r="B175" s="59" t="s">
        <v>607</v>
      </c>
      <c r="C175" s="59"/>
      <c r="D175" s="59"/>
      <c r="E175" s="59"/>
      <c r="F175" s="60">
        <f t="shared" ref="F175:H178" si="33">F176</f>
        <v>89000</v>
      </c>
      <c r="G175" s="282">
        <f t="shared" si="33"/>
        <v>71946.197</v>
      </c>
      <c r="H175" s="60">
        <f t="shared" si="33"/>
        <v>89000</v>
      </c>
      <c r="I175" s="60">
        <f t="shared" si="25"/>
        <v>100</v>
      </c>
    </row>
    <row r="176" spans="1:9" s="52" customFormat="1" ht="12">
      <c r="A176" s="85" t="s">
        <v>333</v>
      </c>
      <c r="B176" s="59" t="s">
        <v>607</v>
      </c>
      <c r="C176" s="59" t="s">
        <v>376</v>
      </c>
      <c r="D176" s="59"/>
      <c r="E176" s="59"/>
      <c r="F176" s="60">
        <f t="shared" si="33"/>
        <v>89000</v>
      </c>
      <c r="G176" s="282">
        <f t="shared" si="33"/>
        <v>71946.197</v>
      </c>
      <c r="H176" s="60">
        <f t="shared" si="33"/>
        <v>89000</v>
      </c>
      <c r="I176" s="60">
        <f t="shared" si="25"/>
        <v>100</v>
      </c>
    </row>
    <row r="177" spans="1:9" s="52" customFormat="1" ht="12">
      <c r="A177" s="85" t="s">
        <v>698</v>
      </c>
      <c r="B177" s="59" t="s">
        <v>607</v>
      </c>
      <c r="C177" s="59" t="s">
        <v>376</v>
      </c>
      <c r="D177" s="59" t="s">
        <v>423</v>
      </c>
      <c r="E177" s="59"/>
      <c r="F177" s="60">
        <f t="shared" si="33"/>
        <v>89000</v>
      </c>
      <c r="G177" s="282">
        <f t="shared" si="33"/>
        <v>71946.197</v>
      </c>
      <c r="H177" s="60">
        <f t="shared" si="33"/>
        <v>89000</v>
      </c>
      <c r="I177" s="60">
        <f t="shared" si="25"/>
        <v>100</v>
      </c>
    </row>
    <row r="178" spans="1:9" s="52" customFormat="1" ht="24">
      <c r="A178" s="65" t="s">
        <v>486</v>
      </c>
      <c r="B178" s="66" t="s">
        <v>607</v>
      </c>
      <c r="C178" s="66" t="s">
        <v>376</v>
      </c>
      <c r="D178" s="66" t="s">
        <v>423</v>
      </c>
      <c r="E178" s="66" t="s">
        <v>77</v>
      </c>
      <c r="F178" s="67">
        <f t="shared" si="33"/>
        <v>89000</v>
      </c>
      <c r="G178" s="280">
        <f t="shared" si="33"/>
        <v>71946.197</v>
      </c>
      <c r="H178" s="67">
        <f t="shared" si="33"/>
        <v>89000</v>
      </c>
      <c r="I178" s="67">
        <f t="shared" si="25"/>
        <v>100</v>
      </c>
    </row>
    <row r="179" spans="1:9" s="52" customFormat="1" ht="24">
      <c r="A179" s="65" t="s">
        <v>78</v>
      </c>
      <c r="B179" s="66" t="s">
        <v>607</v>
      </c>
      <c r="C179" s="66" t="s">
        <v>376</v>
      </c>
      <c r="D179" s="66" t="s">
        <v>423</v>
      </c>
      <c r="E179" s="66" t="s">
        <v>79</v>
      </c>
      <c r="F179" s="67">
        <v>89000</v>
      </c>
      <c r="G179" s="280">
        <v>71946.197</v>
      </c>
      <c r="H179" s="67">
        <v>89000</v>
      </c>
      <c r="I179" s="67">
        <f t="shared" si="25"/>
        <v>100</v>
      </c>
    </row>
    <row r="180" spans="1:9" s="52" customFormat="1" ht="12">
      <c r="A180" s="58" t="s">
        <v>305</v>
      </c>
      <c r="B180" s="59" t="s">
        <v>608</v>
      </c>
      <c r="C180" s="59"/>
      <c r="D180" s="59"/>
      <c r="E180" s="59"/>
      <c r="F180" s="60">
        <f t="shared" ref="F180:H183" si="34">F181</f>
        <v>1852.3600000000001</v>
      </c>
      <c r="G180" s="316">
        <f t="shared" si="34"/>
        <v>1852.36</v>
      </c>
      <c r="H180" s="60">
        <f t="shared" si="34"/>
        <v>1852.36</v>
      </c>
      <c r="I180" s="60">
        <f t="shared" si="25"/>
        <v>99.999999999999986</v>
      </c>
    </row>
    <row r="181" spans="1:9" s="52" customFormat="1" ht="12">
      <c r="A181" s="85" t="s">
        <v>333</v>
      </c>
      <c r="B181" s="59" t="s">
        <v>608</v>
      </c>
      <c r="C181" s="59" t="s">
        <v>376</v>
      </c>
      <c r="D181" s="59"/>
      <c r="E181" s="59"/>
      <c r="F181" s="60">
        <f t="shared" si="34"/>
        <v>1852.3600000000001</v>
      </c>
      <c r="G181" s="316">
        <f t="shared" si="34"/>
        <v>1852.36</v>
      </c>
      <c r="H181" s="60">
        <f t="shared" si="34"/>
        <v>1852.36</v>
      </c>
      <c r="I181" s="60">
        <f t="shared" si="25"/>
        <v>99.999999999999986</v>
      </c>
    </row>
    <row r="182" spans="1:9" s="52" customFormat="1" ht="12">
      <c r="A182" s="85" t="s">
        <v>698</v>
      </c>
      <c r="B182" s="59" t="s">
        <v>608</v>
      </c>
      <c r="C182" s="59" t="s">
        <v>376</v>
      </c>
      <c r="D182" s="59" t="s">
        <v>423</v>
      </c>
      <c r="E182" s="59"/>
      <c r="F182" s="60">
        <f t="shared" si="34"/>
        <v>1852.3600000000001</v>
      </c>
      <c r="G182" s="316">
        <f t="shared" si="34"/>
        <v>1852.36</v>
      </c>
      <c r="H182" s="60">
        <f t="shared" si="34"/>
        <v>1852.36</v>
      </c>
      <c r="I182" s="60">
        <f t="shared" si="25"/>
        <v>99.999999999999986</v>
      </c>
    </row>
    <row r="183" spans="1:9" s="52" customFormat="1" ht="24">
      <c r="A183" s="65" t="s">
        <v>486</v>
      </c>
      <c r="B183" s="66" t="s">
        <v>608</v>
      </c>
      <c r="C183" s="66" t="s">
        <v>376</v>
      </c>
      <c r="D183" s="66" t="s">
        <v>423</v>
      </c>
      <c r="E183" s="66" t="s">
        <v>77</v>
      </c>
      <c r="F183" s="67">
        <f t="shared" si="34"/>
        <v>1852.3600000000001</v>
      </c>
      <c r="G183" s="315">
        <f t="shared" si="34"/>
        <v>1852.36</v>
      </c>
      <c r="H183" s="67">
        <f t="shared" si="34"/>
        <v>1852.36</v>
      </c>
      <c r="I183" s="67">
        <f t="shared" si="25"/>
        <v>99.999999999999986</v>
      </c>
    </row>
    <row r="184" spans="1:9" s="52" customFormat="1" ht="24">
      <c r="A184" s="65" t="s">
        <v>78</v>
      </c>
      <c r="B184" s="66" t="s">
        <v>608</v>
      </c>
      <c r="C184" s="66" t="s">
        <v>376</v>
      </c>
      <c r="D184" s="66" t="s">
        <v>423</v>
      </c>
      <c r="E184" s="66" t="s">
        <v>79</v>
      </c>
      <c r="F184" s="67">
        <f>2000+500-647.64</f>
        <v>1852.3600000000001</v>
      </c>
      <c r="G184" s="272">
        <v>1852.36</v>
      </c>
      <c r="H184" s="67">
        <v>1852.36</v>
      </c>
      <c r="I184" s="67">
        <f t="shared" si="25"/>
        <v>99.999999999999986</v>
      </c>
    </row>
    <row r="185" spans="1:9" s="52" customFormat="1" ht="12">
      <c r="A185" s="58" t="s">
        <v>230</v>
      </c>
      <c r="B185" s="59" t="s">
        <v>600</v>
      </c>
      <c r="C185" s="59"/>
      <c r="D185" s="59"/>
      <c r="E185" s="59"/>
      <c r="F185" s="60">
        <f>F186</f>
        <v>9063.4</v>
      </c>
      <c r="G185" s="60">
        <f>G186</f>
        <v>7315.3593899999996</v>
      </c>
      <c r="H185" s="60">
        <f>H186</f>
        <v>9063.4</v>
      </c>
      <c r="I185" s="60">
        <f t="shared" si="25"/>
        <v>100</v>
      </c>
    </row>
    <row r="186" spans="1:9" s="52" customFormat="1" ht="12">
      <c r="A186" s="58" t="s">
        <v>707</v>
      </c>
      <c r="B186" s="59" t="s">
        <v>600</v>
      </c>
      <c r="C186" s="59" t="s">
        <v>71</v>
      </c>
      <c r="D186" s="59"/>
      <c r="E186" s="59"/>
      <c r="F186" s="60">
        <f>F187+F190+F192</f>
        <v>9063.4</v>
      </c>
      <c r="G186" s="282">
        <f>G187+G190+G192</f>
        <v>7315.3593899999996</v>
      </c>
      <c r="H186" s="60">
        <f>H187+H190+H192</f>
        <v>9063.4</v>
      </c>
      <c r="I186" s="60">
        <f t="shared" si="25"/>
        <v>100</v>
      </c>
    </row>
    <row r="187" spans="1:9" s="52" customFormat="1" ht="12">
      <c r="A187" s="58" t="s">
        <v>706</v>
      </c>
      <c r="B187" s="59" t="s">
        <v>600</v>
      </c>
      <c r="C187" s="59" t="s">
        <v>71</v>
      </c>
      <c r="D187" s="59" t="s">
        <v>430</v>
      </c>
      <c r="E187" s="59"/>
      <c r="F187" s="60">
        <f t="shared" ref="F187:H188" si="35">F188</f>
        <v>7800</v>
      </c>
      <c r="G187" s="282">
        <f t="shared" si="35"/>
        <v>6612.1322899999996</v>
      </c>
      <c r="H187" s="60">
        <f t="shared" si="35"/>
        <v>7800</v>
      </c>
      <c r="I187" s="60">
        <f t="shared" si="25"/>
        <v>100</v>
      </c>
    </row>
    <row r="188" spans="1:9" s="52" customFormat="1" ht="36">
      <c r="A188" s="65" t="s">
        <v>72</v>
      </c>
      <c r="B188" s="66" t="s">
        <v>600</v>
      </c>
      <c r="C188" s="66" t="s">
        <v>71</v>
      </c>
      <c r="D188" s="66" t="s">
        <v>430</v>
      </c>
      <c r="E188" s="66" t="s">
        <v>73</v>
      </c>
      <c r="F188" s="67">
        <f t="shared" si="35"/>
        <v>7800</v>
      </c>
      <c r="G188" s="280">
        <f t="shared" si="35"/>
        <v>6612.1322899999996</v>
      </c>
      <c r="H188" s="67">
        <f t="shared" si="35"/>
        <v>7800</v>
      </c>
      <c r="I188" s="67">
        <f t="shared" si="25"/>
        <v>100</v>
      </c>
    </row>
    <row r="189" spans="1:9" s="52" customFormat="1" ht="12">
      <c r="A189" s="65" t="s">
        <v>426</v>
      </c>
      <c r="B189" s="66" t="s">
        <v>600</v>
      </c>
      <c r="C189" s="66" t="s">
        <v>71</v>
      </c>
      <c r="D189" s="66" t="s">
        <v>430</v>
      </c>
      <c r="E189" s="66" t="s">
        <v>427</v>
      </c>
      <c r="F189" s="67">
        <v>7800</v>
      </c>
      <c r="G189" s="280">
        <v>6612.1322899999996</v>
      </c>
      <c r="H189" s="67">
        <v>7800</v>
      </c>
      <c r="I189" s="67">
        <f t="shared" si="25"/>
        <v>100</v>
      </c>
    </row>
    <row r="190" spans="1:9" s="52" customFormat="1" ht="24">
      <c r="A190" s="65" t="s">
        <v>486</v>
      </c>
      <c r="B190" s="66" t="s">
        <v>600</v>
      </c>
      <c r="C190" s="66" t="s">
        <v>71</v>
      </c>
      <c r="D190" s="66" t="s">
        <v>430</v>
      </c>
      <c r="E190" s="66" t="s">
        <v>77</v>
      </c>
      <c r="F190" s="67">
        <f>F191</f>
        <v>1224</v>
      </c>
      <c r="G190" s="280">
        <f>G191</f>
        <v>672.1721</v>
      </c>
      <c r="H190" s="67">
        <f>H191</f>
        <v>1224</v>
      </c>
      <c r="I190" s="67">
        <f t="shared" si="25"/>
        <v>100</v>
      </c>
    </row>
    <row r="191" spans="1:9" s="52" customFormat="1" ht="24">
      <c r="A191" s="65" t="s">
        <v>78</v>
      </c>
      <c r="B191" s="66" t="s">
        <v>600</v>
      </c>
      <c r="C191" s="66" t="s">
        <v>71</v>
      </c>
      <c r="D191" s="66" t="s">
        <v>430</v>
      </c>
      <c r="E191" s="66" t="s">
        <v>79</v>
      </c>
      <c r="F191" s="67">
        <v>1224</v>
      </c>
      <c r="G191" s="280">
        <v>672.1721</v>
      </c>
      <c r="H191" s="67">
        <v>1224</v>
      </c>
      <c r="I191" s="67">
        <f t="shared" si="25"/>
        <v>100</v>
      </c>
    </row>
    <row r="192" spans="1:9" s="52" customFormat="1" ht="12">
      <c r="A192" s="65" t="s">
        <v>80</v>
      </c>
      <c r="B192" s="66" t="s">
        <v>600</v>
      </c>
      <c r="C192" s="66" t="s">
        <v>71</v>
      </c>
      <c r="D192" s="66" t="s">
        <v>430</v>
      </c>
      <c r="E192" s="66" t="s">
        <v>81</v>
      </c>
      <c r="F192" s="67">
        <f>F193</f>
        <v>39.4</v>
      </c>
      <c r="G192" s="280">
        <f>G193</f>
        <v>31.055</v>
      </c>
      <c r="H192" s="67">
        <f>H193</f>
        <v>39.4</v>
      </c>
      <c r="I192" s="67">
        <f t="shared" si="25"/>
        <v>100</v>
      </c>
    </row>
    <row r="193" spans="1:9" s="52" customFormat="1" ht="12">
      <c r="A193" s="65" t="s">
        <v>445</v>
      </c>
      <c r="B193" s="66" t="s">
        <v>600</v>
      </c>
      <c r="C193" s="66" t="s">
        <v>71</v>
      </c>
      <c r="D193" s="66" t="s">
        <v>430</v>
      </c>
      <c r="E193" s="66" t="s">
        <v>82</v>
      </c>
      <c r="F193" s="67">
        <v>39.4</v>
      </c>
      <c r="G193" s="280">
        <v>31.055</v>
      </c>
      <c r="H193" s="67">
        <v>39.4</v>
      </c>
      <c r="I193" s="67">
        <f t="shared" si="25"/>
        <v>100</v>
      </c>
    </row>
    <row r="194" spans="1:9" s="52" customFormat="1" ht="24">
      <c r="A194" s="58" t="s">
        <v>231</v>
      </c>
      <c r="B194" s="59" t="s">
        <v>609</v>
      </c>
      <c r="C194" s="59"/>
      <c r="D194" s="59"/>
      <c r="E194" s="59"/>
      <c r="F194" s="60">
        <f t="shared" ref="F194:H197" si="36">F195</f>
        <v>256068.2</v>
      </c>
      <c r="G194" s="282">
        <f t="shared" si="36"/>
        <v>195130.90654</v>
      </c>
      <c r="H194" s="60">
        <f t="shared" si="36"/>
        <v>256068.2</v>
      </c>
      <c r="I194" s="60">
        <f t="shared" si="25"/>
        <v>100</v>
      </c>
    </row>
    <row r="195" spans="1:9" s="52" customFormat="1" ht="12">
      <c r="A195" s="85" t="s">
        <v>333</v>
      </c>
      <c r="B195" s="59" t="s">
        <v>609</v>
      </c>
      <c r="C195" s="59" t="s">
        <v>376</v>
      </c>
      <c r="D195" s="59"/>
      <c r="E195" s="59"/>
      <c r="F195" s="60">
        <f t="shared" si="36"/>
        <v>256068.2</v>
      </c>
      <c r="G195" s="282">
        <f t="shared" si="36"/>
        <v>195130.90654</v>
      </c>
      <c r="H195" s="60">
        <f t="shared" si="36"/>
        <v>256068.2</v>
      </c>
      <c r="I195" s="60">
        <f t="shared" si="25"/>
        <v>100</v>
      </c>
    </row>
    <row r="196" spans="1:9" s="52" customFormat="1" ht="12">
      <c r="A196" s="85" t="s">
        <v>698</v>
      </c>
      <c r="B196" s="59" t="s">
        <v>609</v>
      </c>
      <c r="C196" s="59" t="s">
        <v>376</v>
      </c>
      <c r="D196" s="59" t="s">
        <v>423</v>
      </c>
      <c r="E196" s="59"/>
      <c r="F196" s="60">
        <f t="shared" si="36"/>
        <v>256068.2</v>
      </c>
      <c r="G196" s="282">
        <f t="shared" si="36"/>
        <v>195130.90654</v>
      </c>
      <c r="H196" s="60">
        <f t="shared" si="36"/>
        <v>256068.2</v>
      </c>
      <c r="I196" s="60">
        <f t="shared" si="25"/>
        <v>100</v>
      </c>
    </row>
    <row r="197" spans="1:9" s="52" customFormat="1" ht="24">
      <c r="A197" s="65" t="s">
        <v>94</v>
      </c>
      <c r="B197" s="66" t="s">
        <v>609</v>
      </c>
      <c r="C197" s="66" t="s">
        <v>376</v>
      </c>
      <c r="D197" s="66" t="s">
        <v>423</v>
      </c>
      <c r="E197" s="66" t="s">
        <v>362</v>
      </c>
      <c r="F197" s="67">
        <f t="shared" si="36"/>
        <v>256068.2</v>
      </c>
      <c r="G197" s="280">
        <f t="shared" si="36"/>
        <v>195130.90654</v>
      </c>
      <c r="H197" s="67">
        <f t="shared" si="36"/>
        <v>256068.2</v>
      </c>
      <c r="I197" s="67">
        <f t="shared" si="25"/>
        <v>100</v>
      </c>
    </row>
    <row r="198" spans="1:9" s="52" customFormat="1" ht="12">
      <c r="A198" s="65" t="s">
        <v>95</v>
      </c>
      <c r="B198" s="66" t="s">
        <v>609</v>
      </c>
      <c r="C198" s="66" t="s">
        <v>376</v>
      </c>
      <c r="D198" s="66" t="s">
        <v>423</v>
      </c>
      <c r="E198" s="66" t="s">
        <v>371</v>
      </c>
      <c r="F198" s="67">
        <v>256068.2</v>
      </c>
      <c r="G198" s="280">
        <v>195130.90654</v>
      </c>
      <c r="H198" s="67">
        <v>256068.2</v>
      </c>
      <c r="I198" s="67">
        <f t="shared" si="25"/>
        <v>100</v>
      </c>
    </row>
    <row r="199" spans="1:9" s="52" customFormat="1" ht="24">
      <c r="A199" s="58" t="s">
        <v>221</v>
      </c>
      <c r="B199" s="59" t="s">
        <v>490</v>
      </c>
      <c r="C199" s="59"/>
      <c r="D199" s="59"/>
      <c r="E199" s="59"/>
      <c r="F199" s="78">
        <f t="shared" ref="F199:H202" si="37">F200</f>
        <v>12000</v>
      </c>
      <c r="G199" s="273">
        <f t="shared" si="37"/>
        <v>10951.24596</v>
      </c>
      <c r="H199" s="78">
        <f t="shared" si="37"/>
        <v>12000</v>
      </c>
      <c r="I199" s="60">
        <f t="shared" ref="I199:I262" si="38">H199/F199*100</f>
        <v>100</v>
      </c>
    </row>
    <row r="200" spans="1:9" s="52" customFormat="1" ht="12">
      <c r="A200" s="85" t="s">
        <v>333</v>
      </c>
      <c r="B200" s="59" t="s">
        <v>490</v>
      </c>
      <c r="C200" s="59" t="s">
        <v>376</v>
      </c>
      <c r="D200" s="59"/>
      <c r="E200" s="59"/>
      <c r="F200" s="78">
        <f t="shared" si="37"/>
        <v>12000</v>
      </c>
      <c r="G200" s="273">
        <f t="shared" si="37"/>
        <v>10951.24596</v>
      </c>
      <c r="H200" s="78">
        <f t="shared" si="37"/>
        <v>12000</v>
      </c>
      <c r="I200" s="60">
        <f t="shared" si="38"/>
        <v>100</v>
      </c>
    </row>
    <row r="201" spans="1:9" s="52" customFormat="1" ht="12">
      <c r="A201" s="85" t="s">
        <v>698</v>
      </c>
      <c r="B201" s="59" t="s">
        <v>490</v>
      </c>
      <c r="C201" s="59" t="s">
        <v>376</v>
      </c>
      <c r="D201" s="59" t="s">
        <v>423</v>
      </c>
      <c r="E201" s="59"/>
      <c r="F201" s="78">
        <f t="shared" si="37"/>
        <v>12000</v>
      </c>
      <c r="G201" s="273">
        <f t="shared" si="37"/>
        <v>10951.24596</v>
      </c>
      <c r="H201" s="78">
        <f t="shared" si="37"/>
        <v>12000</v>
      </c>
      <c r="I201" s="60">
        <f t="shared" si="38"/>
        <v>100</v>
      </c>
    </row>
    <row r="202" spans="1:9" s="52" customFormat="1" ht="24">
      <c r="A202" s="65" t="s">
        <v>486</v>
      </c>
      <c r="B202" s="66" t="s">
        <v>490</v>
      </c>
      <c r="C202" s="66" t="s">
        <v>376</v>
      </c>
      <c r="D202" s="66" t="s">
        <v>423</v>
      </c>
      <c r="E202" s="66" t="s">
        <v>77</v>
      </c>
      <c r="F202" s="79">
        <f t="shared" si="37"/>
        <v>12000</v>
      </c>
      <c r="G202" s="272">
        <f t="shared" si="37"/>
        <v>10951.24596</v>
      </c>
      <c r="H202" s="79">
        <f t="shared" si="37"/>
        <v>12000</v>
      </c>
      <c r="I202" s="67">
        <f t="shared" si="38"/>
        <v>100</v>
      </c>
    </row>
    <row r="203" spans="1:9" s="52" customFormat="1" ht="24">
      <c r="A203" s="65" t="s">
        <v>78</v>
      </c>
      <c r="B203" s="66" t="s">
        <v>490</v>
      </c>
      <c r="C203" s="66" t="s">
        <v>376</v>
      </c>
      <c r="D203" s="66" t="s">
        <v>423</v>
      </c>
      <c r="E203" s="66" t="s">
        <v>79</v>
      </c>
      <c r="F203" s="79">
        <v>12000</v>
      </c>
      <c r="G203" s="272">
        <v>10951.24596</v>
      </c>
      <c r="H203" s="79">
        <v>12000</v>
      </c>
      <c r="I203" s="67">
        <f t="shared" si="38"/>
        <v>100</v>
      </c>
    </row>
    <row r="204" spans="1:9" s="52" customFormat="1" ht="24">
      <c r="A204" s="73" t="s">
        <v>307</v>
      </c>
      <c r="B204" s="59" t="s">
        <v>225</v>
      </c>
      <c r="C204" s="59"/>
      <c r="D204" s="59"/>
      <c r="E204" s="59"/>
      <c r="F204" s="60">
        <f>F205</f>
        <v>7472.5619999999999</v>
      </c>
      <c r="G204" s="282">
        <f>G205</f>
        <v>5959.9037900000003</v>
      </c>
      <c r="H204" s="60">
        <f>H205</f>
        <v>7472.5619999999999</v>
      </c>
      <c r="I204" s="60">
        <f t="shared" si="38"/>
        <v>100</v>
      </c>
    </row>
    <row r="205" spans="1:9" s="52" customFormat="1" ht="36">
      <c r="A205" s="70" t="s">
        <v>364</v>
      </c>
      <c r="B205" s="71" t="s">
        <v>225</v>
      </c>
      <c r="C205" s="71"/>
      <c r="D205" s="71"/>
      <c r="E205" s="71"/>
      <c r="F205" s="72">
        <f>F206+F218+F223</f>
        <v>7472.5619999999999</v>
      </c>
      <c r="G205" s="281">
        <f>G206+G218+G223</f>
        <v>5959.9037900000003</v>
      </c>
      <c r="H205" s="72">
        <f>H206+H218+H223</f>
        <v>7472.5619999999999</v>
      </c>
      <c r="I205" s="72">
        <f t="shared" si="38"/>
        <v>100</v>
      </c>
    </row>
    <row r="206" spans="1:9" s="52" customFormat="1" ht="12">
      <c r="A206" s="85" t="s">
        <v>333</v>
      </c>
      <c r="B206" s="59" t="s">
        <v>308</v>
      </c>
      <c r="C206" s="59" t="s">
        <v>376</v>
      </c>
      <c r="D206" s="59"/>
      <c r="E206" s="71"/>
      <c r="F206" s="60">
        <f>F207+F211</f>
        <v>7345.4</v>
      </c>
      <c r="G206" s="282">
        <f>G207+G211</f>
        <v>5832.74179</v>
      </c>
      <c r="H206" s="60">
        <f>H207+H211</f>
        <v>7345.4</v>
      </c>
      <c r="I206" s="60">
        <f t="shared" si="38"/>
        <v>100</v>
      </c>
    </row>
    <row r="207" spans="1:9" s="52" customFormat="1" ht="12">
      <c r="A207" s="70" t="s">
        <v>337</v>
      </c>
      <c r="B207" s="59" t="s">
        <v>308</v>
      </c>
      <c r="C207" s="59" t="s">
        <v>376</v>
      </c>
      <c r="D207" s="59" t="s">
        <v>376</v>
      </c>
      <c r="E207" s="71"/>
      <c r="F207" s="60">
        <f t="shared" ref="F207:H209" si="39">F208</f>
        <v>7127.4</v>
      </c>
      <c r="G207" s="282">
        <f t="shared" si="39"/>
        <v>5644.9242000000004</v>
      </c>
      <c r="H207" s="60">
        <f t="shared" si="39"/>
        <v>7127.4</v>
      </c>
      <c r="I207" s="60">
        <f t="shared" si="38"/>
        <v>100</v>
      </c>
    </row>
    <row r="208" spans="1:9" s="52" customFormat="1" ht="24">
      <c r="A208" s="73" t="s">
        <v>347</v>
      </c>
      <c r="B208" s="59" t="s">
        <v>308</v>
      </c>
      <c r="C208" s="59" t="s">
        <v>376</v>
      </c>
      <c r="D208" s="59" t="s">
        <v>376</v>
      </c>
      <c r="E208" s="59"/>
      <c r="F208" s="60">
        <f t="shared" si="39"/>
        <v>7127.4</v>
      </c>
      <c r="G208" s="282">
        <f t="shared" si="39"/>
        <v>5644.9242000000004</v>
      </c>
      <c r="H208" s="60">
        <f t="shared" si="39"/>
        <v>7127.4</v>
      </c>
      <c r="I208" s="60">
        <f t="shared" si="38"/>
        <v>100</v>
      </c>
    </row>
    <row r="209" spans="1:9" s="52" customFormat="1" ht="36">
      <c r="A209" s="65" t="s">
        <v>72</v>
      </c>
      <c r="B209" s="66" t="s">
        <v>308</v>
      </c>
      <c r="C209" s="66" t="s">
        <v>376</v>
      </c>
      <c r="D209" s="66" t="s">
        <v>376</v>
      </c>
      <c r="E209" s="66" t="s">
        <v>73</v>
      </c>
      <c r="F209" s="67">
        <f t="shared" si="39"/>
        <v>7127.4</v>
      </c>
      <c r="G209" s="280">
        <f t="shared" si="39"/>
        <v>5644.9242000000004</v>
      </c>
      <c r="H209" s="67">
        <f t="shared" si="39"/>
        <v>7127.4</v>
      </c>
      <c r="I209" s="67">
        <f t="shared" si="38"/>
        <v>100</v>
      </c>
    </row>
    <row r="210" spans="1:9" s="52" customFormat="1" ht="12">
      <c r="A210" s="65" t="s">
        <v>74</v>
      </c>
      <c r="B210" s="66" t="s">
        <v>308</v>
      </c>
      <c r="C210" s="66" t="s">
        <v>376</v>
      </c>
      <c r="D210" s="66" t="s">
        <v>376</v>
      </c>
      <c r="E210" s="66" t="s">
        <v>75</v>
      </c>
      <c r="F210" s="67">
        <f>6878.7+248.7</f>
        <v>7127.4</v>
      </c>
      <c r="G210" s="280">
        <v>5644.9242000000004</v>
      </c>
      <c r="H210" s="67">
        <v>7127.4</v>
      </c>
      <c r="I210" s="67">
        <f t="shared" si="38"/>
        <v>100</v>
      </c>
    </row>
    <row r="211" spans="1:9" s="52" customFormat="1" ht="12">
      <c r="A211" s="58" t="s">
        <v>76</v>
      </c>
      <c r="B211" s="59" t="s">
        <v>309</v>
      </c>
      <c r="C211" s="59"/>
      <c r="D211" s="59"/>
      <c r="E211" s="59"/>
      <c r="F211" s="60">
        <f t="shared" ref="F211:H212" si="40">F212</f>
        <v>218</v>
      </c>
      <c r="G211" s="282">
        <f t="shared" si="40"/>
        <v>187.81759</v>
      </c>
      <c r="H211" s="60">
        <f t="shared" si="40"/>
        <v>218</v>
      </c>
      <c r="I211" s="60">
        <f t="shared" si="38"/>
        <v>100</v>
      </c>
    </row>
    <row r="212" spans="1:9" s="52" customFormat="1" ht="12">
      <c r="A212" s="85" t="s">
        <v>333</v>
      </c>
      <c r="B212" s="59" t="s">
        <v>309</v>
      </c>
      <c r="C212" s="59" t="s">
        <v>376</v>
      </c>
      <c r="D212" s="59"/>
      <c r="E212" s="59"/>
      <c r="F212" s="60">
        <f t="shared" si="40"/>
        <v>218</v>
      </c>
      <c r="G212" s="282">
        <f t="shared" si="40"/>
        <v>187.81759</v>
      </c>
      <c r="H212" s="60">
        <f t="shared" si="40"/>
        <v>218</v>
      </c>
      <c r="I212" s="60">
        <f t="shared" si="38"/>
        <v>100</v>
      </c>
    </row>
    <row r="213" spans="1:9" s="52" customFormat="1" ht="12">
      <c r="A213" s="70" t="s">
        <v>337</v>
      </c>
      <c r="B213" s="59" t="s">
        <v>309</v>
      </c>
      <c r="C213" s="59" t="s">
        <v>376</v>
      </c>
      <c r="D213" s="59" t="s">
        <v>376</v>
      </c>
      <c r="E213" s="59"/>
      <c r="F213" s="60">
        <f>F214+F216</f>
        <v>218</v>
      </c>
      <c r="G213" s="282">
        <f>G214+G216</f>
        <v>187.81759</v>
      </c>
      <c r="H213" s="60">
        <f>H214+H216</f>
        <v>218</v>
      </c>
      <c r="I213" s="60">
        <f t="shared" si="38"/>
        <v>100</v>
      </c>
    </row>
    <row r="214" spans="1:9" s="52" customFormat="1" ht="24">
      <c r="A214" s="65" t="s">
        <v>486</v>
      </c>
      <c r="B214" s="66" t="s">
        <v>309</v>
      </c>
      <c r="C214" s="66" t="s">
        <v>376</v>
      </c>
      <c r="D214" s="66" t="s">
        <v>376</v>
      </c>
      <c r="E214" s="66" t="s">
        <v>77</v>
      </c>
      <c r="F214" s="67">
        <f>F215</f>
        <v>211.5</v>
      </c>
      <c r="G214" s="280">
        <f>G215</f>
        <v>181.31759</v>
      </c>
      <c r="H214" s="67">
        <f>H215</f>
        <v>211.5</v>
      </c>
      <c r="I214" s="67">
        <f t="shared" si="38"/>
        <v>100</v>
      </c>
    </row>
    <row r="215" spans="1:9" s="52" customFormat="1" ht="24">
      <c r="A215" s="65" t="s">
        <v>78</v>
      </c>
      <c r="B215" s="66" t="s">
        <v>309</v>
      </c>
      <c r="C215" s="66" t="s">
        <v>376</v>
      </c>
      <c r="D215" s="66" t="s">
        <v>376</v>
      </c>
      <c r="E215" s="66" t="s">
        <v>79</v>
      </c>
      <c r="F215" s="67">
        <v>211.5</v>
      </c>
      <c r="G215" s="280">
        <v>181.31759</v>
      </c>
      <c r="H215" s="67">
        <v>211.5</v>
      </c>
      <c r="I215" s="67">
        <f t="shared" si="38"/>
        <v>100</v>
      </c>
    </row>
    <row r="216" spans="1:9" s="52" customFormat="1" ht="12">
      <c r="A216" s="65" t="s">
        <v>80</v>
      </c>
      <c r="B216" s="66" t="s">
        <v>309</v>
      </c>
      <c r="C216" s="66" t="s">
        <v>376</v>
      </c>
      <c r="D216" s="66" t="s">
        <v>376</v>
      </c>
      <c r="E216" s="66" t="s">
        <v>81</v>
      </c>
      <c r="F216" s="67">
        <f>F217</f>
        <v>6.5</v>
      </c>
      <c r="G216" s="280">
        <f>G217</f>
        <v>6.5</v>
      </c>
      <c r="H216" s="67">
        <f>H217</f>
        <v>6.5</v>
      </c>
      <c r="I216" s="67">
        <f t="shared" si="38"/>
        <v>100</v>
      </c>
    </row>
    <row r="217" spans="1:9" s="52" customFormat="1" ht="12">
      <c r="A217" s="65" t="s">
        <v>445</v>
      </c>
      <c r="B217" s="66" t="s">
        <v>309</v>
      </c>
      <c r="C217" s="66" t="s">
        <v>376</v>
      </c>
      <c r="D217" s="66" t="s">
        <v>376</v>
      </c>
      <c r="E217" s="66" t="s">
        <v>82</v>
      </c>
      <c r="F217" s="67">
        <f>3+3.5</f>
        <v>6.5</v>
      </c>
      <c r="G217" s="280">
        <v>6.5</v>
      </c>
      <c r="H217" s="67">
        <v>6.5</v>
      </c>
      <c r="I217" s="67">
        <f t="shared" si="38"/>
        <v>100</v>
      </c>
    </row>
    <row r="218" spans="1:9" s="52" customFormat="1" ht="24">
      <c r="A218" s="58" t="s">
        <v>510</v>
      </c>
      <c r="B218" s="59" t="s">
        <v>511</v>
      </c>
      <c r="C218" s="59"/>
      <c r="D218" s="59"/>
      <c r="E218" s="59"/>
      <c r="F218" s="78">
        <f t="shared" ref="F218:H221" si="41">F219</f>
        <v>126.66200000000001</v>
      </c>
      <c r="G218" s="273">
        <f t="shared" si="41"/>
        <v>126.66200000000001</v>
      </c>
      <c r="H218" s="78">
        <f t="shared" si="41"/>
        <v>126.66200000000001</v>
      </c>
      <c r="I218" s="60">
        <f t="shared" si="38"/>
        <v>100</v>
      </c>
    </row>
    <row r="219" spans="1:9" s="52" customFormat="1" ht="12">
      <c r="A219" s="58" t="s">
        <v>585</v>
      </c>
      <c r="B219" s="59" t="s">
        <v>511</v>
      </c>
      <c r="C219" s="59" t="s">
        <v>428</v>
      </c>
      <c r="D219" s="59"/>
      <c r="E219" s="59"/>
      <c r="F219" s="78">
        <f t="shared" si="41"/>
        <v>126.66200000000001</v>
      </c>
      <c r="G219" s="273">
        <f t="shared" si="41"/>
        <v>126.66200000000001</v>
      </c>
      <c r="H219" s="78">
        <f t="shared" si="41"/>
        <v>126.66200000000001</v>
      </c>
      <c r="I219" s="60">
        <f t="shared" si="38"/>
        <v>100</v>
      </c>
    </row>
    <row r="220" spans="1:9" s="52" customFormat="1" ht="12">
      <c r="A220" s="58" t="s">
        <v>408</v>
      </c>
      <c r="B220" s="59" t="s">
        <v>511</v>
      </c>
      <c r="C220" s="59" t="s">
        <v>428</v>
      </c>
      <c r="D220" s="59" t="s">
        <v>71</v>
      </c>
      <c r="E220" s="59"/>
      <c r="F220" s="78">
        <f t="shared" si="41"/>
        <v>126.66200000000001</v>
      </c>
      <c r="G220" s="273">
        <f t="shared" si="41"/>
        <v>126.66200000000001</v>
      </c>
      <c r="H220" s="78">
        <f t="shared" si="41"/>
        <v>126.66200000000001</v>
      </c>
      <c r="I220" s="60">
        <f t="shared" si="38"/>
        <v>100</v>
      </c>
    </row>
    <row r="221" spans="1:9" s="52" customFormat="1" ht="24">
      <c r="A221" s="65" t="s">
        <v>486</v>
      </c>
      <c r="B221" s="66" t="s">
        <v>511</v>
      </c>
      <c r="C221" s="66" t="s">
        <v>428</v>
      </c>
      <c r="D221" s="66" t="s">
        <v>71</v>
      </c>
      <c r="E221" s="66" t="s">
        <v>77</v>
      </c>
      <c r="F221" s="79">
        <f t="shared" si="41"/>
        <v>126.66200000000001</v>
      </c>
      <c r="G221" s="272">
        <f t="shared" si="41"/>
        <v>126.66200000000001</v>
      </c>
      <c r="H221" s="79">
        <f t="shared" si="41"/>
        <v>126.66200000000001</v>
      </c>
      <c r="I221" s="67">
        <f t="shared" si="38"/>
        <v>100</v>
      </c>
    </row>
    <row r="222" spans="1:9" s="52" customFormat="1" ht="24">
      <c r="A222" s="65" t="s">
        <v>78</v>
      </c>
      <c r="B222" s="66" t="s">
        <v>511</v>
      </c>
      <c r="C222" s="66" t="s">
        <v>428</v>
      </c>
      <c r="D222" s="66" t="s">
        <v>71</v>
      </c>
      <c r="E222" s="66" t="s">
        <v>79</v>
      </c>
      <c r="F222" s="67">
        <v>126.66200000000001</v>
      </c>
      <c r="G222" s="272">
        <v>126.66200000000001</v>
      </c>
      <c r="H222" s="67">
        <v>126.66200000000001</v>
      </c>
      <c r="I222" s="67">
        <f t="shared" si="38"/>
        <v>100</v>
      </c>
    </row>
    <row r="223" spans="1:9" s="52" customFormat="1" ht="24">
      <c r="A223" s="58" t="s">
        <v>512</v>
      </c>
      <c r="B223" s="59" t="s">
        <v>513</v>
      </c>
      <c r="C223" s="59"/>
      <c r="D223" s="59"/>
      <c r="E223" s="59"/>
      <c r="F223" s="60">
        <f t="shared" ref="F223:H226" si="42">F224</f>
        <v>0.5</v>
      </c>
      <c r="G223" s="282">
        <f t="shared" si="42"/>
        <v>0.5</v>
      </c>
      <c r="H223" s="60">
        <f t="shared" si="42"/>
        <v>0.5</v>
      </c>
      <c r="I223" s="60">
        <f t="shared" si="38"/>
        <v>100</v>
      </c>
    </row>
    <row r="224" spans="1:9" s="52" customFormat="1" ht="12">
      <c r="A224" s="58" t="s">
        <v>585</v>
      </c>
      <c r="B224" s="59" t="s">
        <v>513</v>
      </c>
      <c r="C224" s="59" t="s">
        <v>428</v>
      </c>
      <c r="D224" s="59"/>
      <c r="E224" s="59"/>
      <c r="F224" s="60">
        <f t="shared" si="42"/>
        <v>0.5</v>
      </c>
      <c r="G224" s="282">
        <f t="shared" si="42"/>
        <v>0.5</v>
      </c>
      <c r="H224" s="60">
        <f t="shared" si="42"/>
        <v>0.5</v>
      </c>
      <c r="I224" s="60">
        <f t="shared" si="38"/>
        <v>100</v>
      </c>
    </row>
    <row r="225" spans="1:9" s="52" customFormat="1" ht="12">
      <c r="A225" s="58" t="s">
        <v>408</v>
      </c>
      <c r="B225" s="59" t="s">
        <v>513</v>
      </c>
      <c r="C225" s="59" t="s">
        <v>428</v>
      </c>
      <c r="D225" s="59" t="s">
        <v>71</v>
      </c>
      <c r="E225" s="59"/>
      <c r="F225" s="60">
        <f t="shared" si="42"/>
        <v>0.5</v>
      </c>
      <c r="G225" s="282">
        <f t="shared" si="42"/>
        <v>0.5</v>
      </c>
      <c r="H225" s="60">
        <f t="shared" si="42"/>
        <v>0.5</v>
      </c>
      <c r="I225" s="60">
        <f t="shared" si="38"/>
        <v>100</v>
      </c>
    </row>
    <row r="226" spans="1:9" s="52" customFormat="1" ht="24">
      <c r="A226" s="65" t="s">
        <v>486</v>
      </c>
      <c r="B226" s="66" t="s">
        <v>513</v>
      </c>
      <c r="C226" s="66" t="s">
        <v>428</v>
      </c>
      <c r="D226" s="66" t="s">
        <v>71</v>
      </c>
      <c r="E226" s="66" t="s">
        <v>77</v>
      </c>
      <c r="F226" s="67">
        <f t="shared" si="42"/>
        <v>0.5</v>
      </c>
      <c r="G226" s="280">
        <f t="shared" si="42"/>
        <v>0.5</v>
      </c>
      <c r="H226" s="67">
        <f t="shared" si="42"/>
        <v>0.5</v>
      </c>
      <c r="I226" s="67">
        <f t="shared" si="38"/>
        <v>100</v>
      </c>
    </row>
    <row r="227" spans="1:9" s="52" customFormat="1" ht="24">
      <c r="A227" s="65" t="s">
        <v>78</v>
      </c>
      <c r="B227" s="66" t="s">
        <v>513</v>
      </c>
      <c r="C227" s="66" t="s">
        <v>428</v>
      </c>
      <c r="D227" s="66" t="s">
        <v>71</v>
      </c>
      <c r="E227" s="66" t="s">
        <v>79</v>
      </c>
      <c r="F227" s="67">
        <v>0.5</v>
      </c>
      <c r="G227" s="280">
        <v>0.5</v>
      </c>
      <c r="H227" s="67">
        <v>0.5</v>
      </c>
      <c r="I227" s="67">
        <f t="shared" si="38"/>
        <v>100</v>
      </c>
    </row>
    <row r="228" spans="1:9" s="52" customFormat="1" ht="40.5">
      <c r="A228" s="183" t="s">
        <v>672</v>
      </c>
      <c r="B228" s="137" t="s">
        <v>192</v>
      </c>
      <c r="C228" s="165"/>
      <c r="D228" s="165"/>
      <c r="E228" s="137"/>
      <c r="F228" s="182">
        <f>F229+F234+F239+F244+F249+F254+F259+F264+F269</f>
        <v>5000</v>
      </c>
      <c r="G228" s="313">
        <f>G229+G234+G239+G244+G249+G254+G259+G264+G269</f>
        <v>409</v>
      </c>
      <c r="H228" s="182">
        <f>H229+H234+H239+H244+H249+H254+H259+H264+H269</f>
        <v>409</v>
      </c>
      <c r="I228" s="136">
        <f t="shared" si="38"/>
        <v>8.18</v>
      </c>
    </row>
    <row r="229" spans="1:9" s="52" customFormat="1" ht="24">
      <c r="A229" s="97" t="s">
        <v>545</v>
      </c>
      <c r="B229" s="59" t="s">
        <v>546</v>
      </c>
      <c r="C229" s="59"/>
      <c r="D229" s="59"/>
      <c r="E229" s="59"/>
      <c r="F229" s="98">
        <f t="shared" ref="F229:H232" si="43">F230</f>
        <v>1500</v>
      </c>
      <c r="G229" s="312">
        <f t="shared" si="43"/>
        <v>0</v>
      </c>
      <c r="H229" s="98">
        <f t="shared" si="43"/>
        <v>0</v>
      </c>
      <c r="I229" s="78">
        <f t="shared" si="38"/>
        <v>0</v>
      </c>
    </row>
    <row r="230" spans="1:9" s="52" customFormat="1" ht="12">
      <c r="A230" s="97" t="s">
        <v>321</v>
      </c>
      <c r="B230" s="59" t="s">
        <v>546</v>
      </c>
      <c r="C230" s="59" t="s">
        <v>71</v>
      </c>
      <c r="D230" s="59"/>
      <c r="E230" s="59"/>
      <c r="F230" s="98">
        <f t="shared" si="43"/>
        <v>1500</v>
      </c>
      <c r="G230" s="312">
        <f t="shared" si="43"/>
        <v>0</v>
      </c>
      <c r="H230" s="98">
        <f t="shared" si="43"/>
        <v>0</v>
      </c>
      <c r="I230" s="78">
        <f t="shared" si="38"/>
        <v>0</v>
      </c>
    </row>
    <row r="231" spans="1:9" s="52" customFormat="1" ht="12">
      <c r="A231" s="97" t="s">
        <v>699</v>
      </c>
      <c r="B231" s="59" t="s">
        <v>546</v>
      </c>
      <c r="C231" s="59" t="s">
        <v>71</v>
      </c>
      <c r="D231" s="59" t="s">
        <v>429</v>
      </c>
      <c r="E231" s="59"/>
      <c r="F231" s="98">
        <f t="shared" si="43"/>
        <v>1500</v>
      </c>
      <c r="G231" s="312">
        <f t="shared" si="43"/>
        <v>0</v>
      </c>
      <c r="H231" s="98">
        <f t="shared" si="43"/>
        <v>0</v>
      </c>
      <c r="I231" s="78">
        <f t="shared" si="38"/>
        <v>0</v>
      </c>
    </row>
    <row r="232" spans="1:9" s="52" customFormat="1" ht="12">
      <c r="A232" s="65" t="s">
        <v>80</v>
      </c>
      <c r="B232" s="66" t="s">
        <v>546</v>
      </c>
      <c r="C232" s="66" t="s">
        <v>71</v>
      </c>
      <c r="D232" s="66" t="s">
        <v>429</v>
      </c>
      <c r="E232" s="66" t="s">
        <v>81</v>
      </c>
      <c r="F232" s="99">
        <f t="shared" si="43"/>
        <v>1500</v>
      </c>
      <c r="G232" s="311">
        <f t="shared" si="43"/>
        <v>0</v>
      </c>
      <c r="H232" s="99">
        <f t="shared" si="43"/>
        <v>0</v>
      </c>
      <c r="I232" s="79">
        <f t="shared" si="38"/>
        <v>0</v>
      </c>
    </row>
    <row r="233" spans="1:9" s="52" customFormat="1" ht="24">
      <c r="A233" s="65" t="s">
        <v>485</v>
      </c>
      <c r="B233" s="66" t="s">
        <v>546</v>
      </c>
      <c r="C233" s="66" t="s">
        <v>71</v>
      </c>
      <c r="D233" s="66" t="s">
        <v>429</v>
      </c>
      <c r="E233" s="66" t="s">
        <v>374</v>
      </c>
      <c r="F233" s="99">
        <v>1500</v>
      </c>
      <c r="G233" s="311">
        <v>0</v>
      </c>
      <c r="H233" s="99">
        <f>1500-1500</f>
        <v>0</v>
      </c>
      <c r="I233" s="79">
        <f t="shared" si="38"/>
        <v>0</v>
      </c>
    </row>
    <row r="234" spans="1:9" s="52" customFormat="1" ht="36">
      <c r="A234" s="97" t="s">
        <v>547</v>
      </c>
      <c r="B234" s="59" t="s">
        <v>548</v>
      </c>
      <c r="C234" s="59"/>
      <c r="D234" s="59"/>
      <c r="E234" s="59"/>
      <c r="F234" s="98">
        <f t="shared" ref="F234:H237" si="44">F235</f>
        <v>500</v>
      </c>
      <c r="G234" s="312">
        <f t="shared" si="44"/>
        <v>0</v>
      </c>
      <c r="H234" s="98">
        <f t="shared" si="44"/>
        <v>0</v>
      </c>
      <c r="I234" s="78">
        <f t="shared" si="38"/>
        <v>0</v>
      </c>
    </row>
    <row r="235" spans="1:9" s="52" customFormat="1" ht="12">
      <c r="A235" s="97" t="s">
        <v>321</v>
      </c>
      <c r="B235" s="59" t="s">
        <v>548</v>
      </c>
      <c r="C235" s="59" t="s">
        <v>71</v>
      </c>
      <c r="D235" s="59"/>
      <c r="E235" s="59"/>
      <c r="F235" s="98">
        <f t="shared" si="44"/>
        <v>500</v>
      </c>
      <c r="G235" s="312">
        <f t="shared" si="44"/>
        <v>0</v>
      </c>
      <c r="H235" s="98">
        <f t="shared" si="44"/>
        <v>0</v>
      </c>
      <c r="I235" s="78">
        <f t="shared" si="38"/>
        <v>0</v>
      </c>
    </row>
    <row r="236" spans="1:9" s="52" customFormat="1" ht="12">
      <c r="A236" s="97" t="s">
        <v>699</v>
      </c>
      <c r="B236" s="59" t="s">
        <v>548</v>
      </c>
      <c r="C236" s="59" t="s">
        <v>71</v>
      </c>
      <c r="D236" s="59" t="s">
        <v>429</v>
      </c>
      <c r="E236" s="59"/>
      <c r="F236" s="98">
        <f t="shared" si="44"/>
        <v>500</v>
      </c>
      <c r="G236" s="312">
        <f t="shared" si="44"/>
        <v>0</v>
      </c>
      <c r="H236" s="98">
        <f t="shared" si="44"/>
        <v>0</v>
      </c>
      <c r="I236" s="78">
        <f t="shared" si="38"/>
        <v>0</v>
      </c>
    </row>
    <row r="237" spans="1:9" s="52" customFormat="1" ht="24">
      <c r="A237" s="65" t="s">
        <v>486</v>
      </c>
      <c r="B237" s="66" t="s">
        <v>548</v>
      </c>
      <c r="C237" s="66" t="s">
        <v>71</v>
      </c>
      <c r="D237" s="66" t="s">
        <v>429</v>
      </c>
      <c r="E237" s="66" t="s">
        <v>77</v>
      </c>
      <c r="F237" s="99">
        <f t="shared" si="44"/>
        <v>500</v>
      </c>
      <c r="G237" s="311">
        <f t="shared" si="44"/>
        <v>0</v>
      </c>
      <c r="H237" s="99">
        <f t="shared" si="44"/>
        <v>0</v>
      </c>
      <c r="I237" s="79">
        <f t="shared" si="38"/>
        <v>0</v>
      </c>
    </row>
    <row r="238" spans="1:9" s="52" customFormat="1" ht="24">
      <c r="A238" s="65" t="s">
        <v>78</v>
      </c>
      <c r="B238" s="66" t="s">
        <v>548</v>
      </c>
      <c r="C238" s="66" t="s">
        <v>71</v>
      </c>
      <c r="D238" s="66" t="s">
        <v>429</v>
      </c>
      <c r="E238" s="66" t="s">
        <v>79</v>
      </c>
      <c r="F238" s="99">
        <v>500</v>
      </c>
      <c r="G238" s="311">
        <v>0</v>
      </c>
      <c r="H238" s="99">
        <f>500-500</f>
        <v>0</v>
      </c>
      <c r="I238" s="79">
        <f t="shared" si="38"/>
        <v>0</v>
      </c>
    </row>
    <row r="239" spans="1:9" s="52" customFormat="1" ht="48">
      <c r="A239" s="58" t="s">
        <v>549</v>
      </c>
      <c r="B239" s="59" t="s">
        <v>550</v>
      </c>
      <c r="C239" s="59"/>
      <c r="D239" s="59"/>
      <c r="E239" s="59"/>
      <c r="F239" s="98">
        <f t="shared" ref="F239:H242" si="45">F240</f>
        <v>300</v>
      </c>
      <c r="G239" s="312">
        <f t="shared" si="45"/>
        <v>300</v>
      </c>
      <c r="H239" s="98">
        <f t="shared" si="45"/>
        <v>300</v>
      </c>
      <c r="I239" s="60">
        <f t="shared" si="38"/>
        <v>100</v>
      </c>
    </row>
    <row r="240" spans="1:9" s="52" customFormat="1" ht="12">
      <c r="A240" s="97" t="s">
        <v>321</v>
      </c>
      <c r="B240" s="59" t="s">
        <v>550</v>
      </c>
      <c r="C240" s="59" t="s">
        <v>71</v>
      </c>
      <c r="D240" s="59"/>
      <c r="E240" s="59"/>
      <c r="F240" s="98">
        <f t="shared" si="45"/>
        <v>300</v>
      </c>
      <c r="G240" s="312">
        <f t="shared" si="45"/>
        <v>300</v>
      </c>
      <c r="H240" s="98">
        <f t="shared" si="45"/>
        <v>300</v>
      </c>
      <c r="I240" s="60">
        <f t="shared" si="38"/>
        <v>100</v>
      </c>
    </row>
    <row r="241" spans="1:9" s="52" customFormat="1" ht="12">
      <c r="A241" s="97" t="s">
        <v>699</v>
      </c>
      <c r="B241" s="59" t="s">
        <v>550</v>
      </c>
      <c r="C241" s="59" t="s">
        <v>71</v>
      </c>
      <c r="D241" s="59" t="s">
        <v>429</v>
      </c>
      <c r="E241" s="59"/>
      <c r="F241" s="98">
        <f t="shared" si="45"/>
        <v>300</v>
      </c>
      <c r="G241" s="312">
        <f t="shared" si="45"/>
        <v>300</v>
      </c>
      <c r="H241" s="98">
        <f t="shared" si="45"/>
        <v>300</v>
      </c>
      <c r="I241" s="60">
        <f t="shared" si="38"/>
        <v>100</v>
      </c>
    </row>
    <row r="242" spans="1:9" s="52" customFormat="1" ht="24">
      <c r="A242" s="65" t="s">
        <v>486</v>
      </c>
      <c r="B242" s="66" t="s">
        <v>550</v>
      </c>
      <c r="C242" s="66" t="s">
        <v>71</v>
      </c>
      <c r="D242" s="66" t="s">
        <v>429</v>
      </c>
      <c r="E242" s="66" t="s">
        <v>77</v>
      </c>
      <c r="F242" s="99">
        <f t="shared" si="45"/>
        <v>300</v>
      </c>
      <c r="G242" s="311">
        <f t="shared" si="45"/>
        <v>300</v>
      </c>
      <c r="H242" s="99">
        <f t="shared" si="45"/>
        <v>300</v>
      </c>
      <c r="I242" s="67">
        <f t="shared" si="38"/>
        <v>100</v>
      </c>
    </row>
    <row r="243" spans="1:9" s="52" customFormat="1" ht="24">
      <c r="A243" s="65" t="s">
        <v>78</v>
      </c>
      <c r="B243" s="66" t="s">
        <v>550</v>
      </c>
      <c r="C243" s="66" t="s">
        <v>71</v>
      </c>
      <c r="D243" s="66" t="s">
        <v>429</v>
      </c>
      <c r="E243" s="66" t="s">
        <v>79</v>
      </c>
      <c r="F243" s="99">
        <v>300</v>
      </c>
      <c r="G243" s="311">
        <v>300</v>
      </c>
      <c r="H243" s="99">
        <v>300</v>
      </c>
      <c r="I243" s="67">
        <f t="shared" si="38"/>
        <v>100</v>
      </c>
    </row>
    <row r="244" spans="1:9" s="52" customFormat="1" ht="48">
      <c r="A244" s="58" t="s">
        <v>551</v>
      </c>
      <c r="B244" s="59" t="s">
        <v>552</v>
      </c>
      <c r="C244" s="59"/>
      <c r="D244" s="59"/>
      <c r="E244" s="59"/>
      <c r="F244" s="98">
        <f t="shared" ref="F244:H247" si="46">F245</f>
        <v>300</v>
      </c>
      <c r="G244" s="312">
        <f t="shared" si="46"/>
        <v>0</v>
      </c>
      <c r="H244" s="98">
        <f t="shared" si="46"/>
        <v>0</v>
      </c>
      <c r="I244" s="78">
        <f t="shared" si="38"/>
        <v>0</v>
      </c>
    </row>
    <row r="245" spans="1:9" s="52" customFormat="1" ht="12">
      <c r="A245" s="97" t="s">
        <v>321</v>
      </c>
      <c r="B245" s="59" t="s">
        <v>552</v>
      </c>
      <c r="C245" s="59" t="s">
        <v>71</v>
      </c>
      <c r="D245" s="59"/>
      <c r="E245" s="59"/>
      <c r="F245" s="98">
        <f t="shared" si="46"/>
        <v>300</v>
      </c>
      <c r="G245" s="312">
        <f t="shared" si="46"/>
        <v>0</v>
      </c>
      <c r="H245" s="98">
        <f t="shared" si="46"/>
        <v>0</v>
      </c>
      <c r="I245" s="78">
        <f t="shared" si="38"/>
        <v>0</v>
      </c>
    </row>
    <row r="246" spans="1:9" s="52" customFormat="1" ht="12">
      <c r="A246" s="97" t="s">
        <v>699</v>
      </c>
      <c r="B246" s="59" t="s">
        <v>552</v>
      </c>
      <c r="C246" s="59" t="s">
        <v>71</v>
      </c>
      <c r="D246" s="59" t="s">
        <v>429</v>
      </c>
      <c r="E246" s="59"/>
      <c r="F246" s="98">
        <f t="shared" si="46"/>
        <v>300</v>
      </c>
      <c r="G246" s="312">
        <f t="shared" si="46"/>
        <v>0</v>
      </c>
      <c r="H246" s="98">
        <f t="shared" si="46"/>
        <v>0</v>
      </c>
      <c r="I246" s="78">
        <f t="shared" si="38"/>
        <v>0</v>
      </c>
    </row>
    <row r="247" spans="1:9" s="53" customFormat="1" ht="24">
      <c r="A247" s="65" t="s">
        <v>486</v>
      </c>
      <c r="B247" s="66" t="s">
        <v>552</v>
      </c>
      <c r="C247" s="66" t="s">
        <v>71</v>
      </c>
      <c r="D247" s="66" t="s">
        <v>429</v>
      </c>
      <c r="E247" s="66" t="s">
        <v>77</v>
      </c>
      <c r="F247" s="99">
        <f t="shared" si="46"/>
        <v>300</v>
      </c>
      <c r="G247" s="311">
        <f t="shared" si="46"/>
        <v>0</v>
      </c>
      <c r="H247" s="99">
        <f t="shared" si="46"/>
        <v>0</v>
      </c>
      <c r="I247" s="79">
        <f t="shared" si="38"/>
        <v>0</v>
      </c>
    </row>
    <row r="248" spans="1:9" s="53" customFormat="1" ht="24">
      <c r="A248" s="65" t="s">
        <v>78</v>
      </c>
      <c r="B248" s="66" t="s">
        <v>552</v>
      </c>
      <c r="C248" s="66" t="s">
        <v>71</v>
      </c>
      <c r="D248" s="66" t="s">
        <v>429</v>
      </c>
      <c r="E248" s="66" t="s">
        <v>79</v>
      </c>
      <c r="F248" s="99">
        <v>300</v>
      </c>
      <c r="G248" s="311">
        <v>0</v>
      </c>
      <c r="H248" s="99">
        <f>300-300</f>
        <v>0</v>
      </c>
      <c r="I248" s="79">
        <f t="shared" si="38"/>
        <v>0</v>
      </c>
    </row>
    <row r="249" spans="1:9" s="53" customFormat="1" ht="36">
      <c r="A249" s="58" t="s">
        <v>474</v>
      </c>
      <c r="B249" s="59" t="s">
        <v>555</v>
      </c>
      <c r="C249" s="59"/>
      <c r="D249" s="59"/>
      <c r="E249" s="59"/>
      <c r="F249" s="98">
        <f t="shared" ref="F249:H252" si="47">F250</f>
        <v>500</v>
      </c>
      <c r="G249" s="312">
        <f t="shared" si="47"/>
        <v>109</v>
      </c>
      <c r="H249" s="98">
        <f t="shared" si="47"/>
        <v>109</v>
      </c>
      <c r="I249" s="60">
        <f t="shared" si="38"/>
        <v>21.8</v>
      </c>
    </row>
    <row r="250" spans="1:9" s="53" customFormat="1" ht="12">
      <c r="A250" s="97" t="s">
        <v>321</v>
      </c>
      <c r="B250" s="59" t="s">
        <v>555</v>
      </c>
      <c r="C250" s="59" t="s">
        <v>71</v>
      </c>
      <c r="D250" s="59"/>
      <c r="E250" s="59"/>
      <c r="F250" s="98">
        <f t="shared" si="47"/>
        <v>500</v>
      </c>
      <c r="G250" s="312">
        <f t="shared" si="47"/>
        <v>109</v>
      </c>
      <c r="H250" s="98">
        <f t="shared" si="47"/>
        <v>109</v>
      </c>
      <c r="I250" s="60">
        <f t="shared" si="38"/>
        <v>21.8</v>
      </c>
    </row>
    <row r="251" spans="1:9" s="53" customFormat="1" ht="12">
      <c r="A251" s="97" t="s">
        <v>699</v>
      </c>
      <c r="B251" s="59" t="s">
        <v>555</v>
      </c>
      <c r="C251" s="59" t="s">
        <v>71</v>
      </c>
      <c r="D251" s="59" t="s">
        <v>429</v>
      </c>
      <c r="E251" s="59"/>
      <c r="F251" s="98">
        <f t="shared" si="47"/>
        <v>500</v>
      </c>
      <c r="G251" s="312">
        <f t="shared" si="47"/>
        <v>109</v>
      </c>
      <c r="H251" s="98">
        <f t="shared" si="47"/>
        <v>109</v>
      </c>
      <c r="I251" s="60">
        <f t="shared" si="38"/>
        <v>21.8</v>
      </c>
    </row>
    <row r="252" spans="1:9" s="53" customFormat="1" ht="24">
      <c r="A252" s="65" t="s">
        <v>486</v>
      </c>
      <c r="B252" s="66" t="s">
        <v>555</v>
      </c>
      <c r="C252" s="66" t="s">
        <v>71</v>
      </c>
      <c r="D252" s="66" t="s">
        <v>429</v>
      </c>
      <c r="E252" s="66" t="s">
        <v>77</v>
      </c>
      <c r="F252" s="99">
        <f t="shared" si="47"/>
        <v>500</v>
      </c>
      <c r="G252" s="311">
        <f t="shared" si="47"/>
        <v>109</v>
      </c>
      <c r="H252" s="99">
        <f t="shared" si="47"/>
        <v>109</v>
      </c>
      <c r="I252" s="67">
        <f t="shared" si="38"/>
        <v>21.8</v>
      </c>
    </row>
    <row r="253" spans="1:9" s="53" customFormat="1" ht="24">
      <c r="A253" s="65" t="s">
        <v>78</v>
      </c>
      <c r="B253" s="66" t="s">
        <v>555</v>
      </c>
      <c r="C253" s="66" t="s">
        <v>71</v>
      </c>
      <c r="D253" s="66" t="s">
        <v>429</v>
      </c>
      <c r="E253" s="66" t="s">
        <v>79</v>
      </c>
      <c r="F253" s="99">
        <v>500</v>
      </c>
      <c r="G253" s="311">
        <v>109</v>
      </c>
      <c r="H253" s="99">
        <f>500-391</f>
        <v>109</v>
      </c>
      <c r="I253" s="67">
        <f t="shared" si="38"/>
        <v>21.8</v>
      </c>
    </row>
    <row r="254" spans="1:9" s="53" customFormat="1" ht="36">
      <c r="A254" s="58" t="s">
        <v>557</v>
      </c>
      <c r="B254" s="59" t="s">
        <v>556</v>
      </c>
      <c r="C254" s="59"/>
      <c r="D254" s="59"/>
      <c r="E254" s="59"/>
      <c r="F254" s="98">
        <f t="shared" ref="F254:H257" si="48">F255</f>
        <v>600</v>
      </c>
      <c r="G254" s="312">
        <f t="shared" si="48"/>
        <v>0</v>
      </c>
      <c r="H254" s="98">
        <f t="shared" si="48"/>
        <v>0</v>
      </c>
      <c r="I254" s="78">
        <f t="shared" si="38"/>
        <v>0</v>
      </c>
    </row>
    <row r="255" spans="1:9" s="53" customFormat="1" ht="12">
      <c r="A255" s="97" t="s">
        <v>321</v>
      </c>
      <c r="B255" s="59" t="s">
        <v>556</v>
      </c>
      <c r="C255" s="59" t="s">
        <v>71</v>
      </c>
      <c r="D255" s="59"/>
      <c r="E255" s="59"/>
      <c r="F255" s="98">
        <f t="shared" si="48"/>
        <v>600</v>
      </c>
      <c r="G255" s="312">
        <f t="shared" si="48"/>
        <v>0</v>
      </c>
      <c r="H255" s="98">
        <f t="shared" si="48"/>
        <v>0</v>
      </c>
      <c r="I255" s="78">
        <f t="shared" si="38"/>
        <v>0</v>
      </c>
    </row>
    <row r="256" spans="1:9" s="53" customFormat="1" ht="12">
      <c r="A256" s="97" t="s">
        <v>699</v>
      </c>
      <c r="B256" s="59" t="s">
        <v>556</v>
      </c>
      <c r="C256" s="59" t="s">
        <v>71</v>
      </c>
      <c r="D256" s="59" t="s">
        <v>429</v>
      </c>
      <c r="E256" s="59"/>
      <c r="F256" s="98">
        <f t="shared" si="48"/>
        <v>600</v>
      </c>
      <c r="G256" s="312">
        <f t="shared" si="48"/>
        <v>0</v>
      </c>
      <c r="H256" s="98">
        <f t="shared" si="48"/>
        <v>0</v>
      </c>
      <c r="I256" s="78">
        <f t="shared" si="38"/>
        <v>0</v>
      </c>
    </row>
    <row r="257" spans="1:9" s="53" customFormat="1" ht="12">
      <c r="A257" s="65" t="s">
        <v>80</v>
      </c>
      <c r="B257" s="66" t="s">
        <v>556</v>
      </c>
      <c r="C257" s="66" t="s">
        <v>71</v>
      </c>
      <c r="D257" s="66" t="s">
        <v>429</v>
      </c>
      <c r="E257" s="66" t="s">
        <v>81</v>
      </c>
      <c r="F257" s="99">
        <f t="shared" si="48"/>
        <v>600</v>
      </c>
      <c r="G257" s="311">
        <f t="shared" si="48"/>
        <v>0</v>
      </c>
      <c r="H257" s="99">
        <f t="shared" si="48"/>
        <v>0</v>
      </c>
      <c r="I257" s="79">
        <f t="shared" si="38"/>
        <v>0</v>
      </c>
    </row>
    <row r="258" spans="1:9" s="53" customFormat="1" ht="24">
      <c r="A258" s="65" t="s">
        <v>485</v>
      </c>
      <c r="B258" s="66" t="s">
        <v>556</v>
      </c>
      <c r="C258" s="66" t="s">
        <v>71</v>
      </c>
      <c r="D258" s="66" t="s">
        <v>429</v>
      </c>
      <c r="E258" s="66" t="s">
        <v>374</v>
      </c>
      <c r="F258" s="99">
        <v>600</v>
      </c>
      <c r="G258" s="311">
        <v>0</v>
      </c>
      <c r="H258" s="99">
        <f>600-600</f>
        <v>0</v>
      </c>
      <c r="I258" s="79">
        <f t="shared" si="38"/>
        <v>0</v>
      </c>
    </row>
    <row r="259" spans="1:9" s="53" customFormat="1" ht="48">
      <c r="A259" s="58" t="s">
        <v>553</v>
      </c>
      <c r="B259" s="59" t="s">
        <v>554</v>
      </c>
      <c r="C259" s="59"/>
      <c r="D259" s="59"/>
      <c r="E259" s="59"/>
      <c r="F259" s="98">
        <f t="shared" ref="F259:H262" si="49">F260</f>
        <v>500</v>
      </c>
      <c r="G259" s="312">
        <f t="shared" si="49"/>
        <v>0</v>
      </c>
      <c r="H259" s="98">
        <f t="shared" si="49"/>
        <v>0</v>
      </c>
      <c r="I259" s="78">
        <f t="shared" si="38"/>
        <v>0</v>
      </c>
    </row>
    <row r="260" spans="1:9" s="53" customFormat="1" ht="12">
      <c r="A260" s="97" t="s">
        <v>321</v>
      </c>
      <c r="B260" s="59" t="s">
        <v>554</v>
      </c>
      <c r="C260" s="59" t="s">
        <v>71</v>
      </c>
      <c r="D260" s="59"/>
      <c r="E260" s="59"/>
      <c r="F260" s="98">
        <f t="shared" si="49"/>
        <v>500</v>
      </c>
      <c r="G260" s="312">
        <f t="shared" si="49"/>
        <v>0</v>
      </c>
      <c r="H260" s="98">
        <f t="shared" si="49"/>
        <v>0</v>
      </c>
      <c r="I260" s="78">
        <f t="shared" si="38"/>
        <v>0</v>
      </c>
    </row>
    <row r="261" spans="1:9" s="53" customFormat="1" ht="12">
      <c r="A261" s="97" t="s">
        <v>699</v>
      </c>
      <c r="B261" s="59" t="s">
        <v>554</v>
      </c>
      <c r="C261" s="59" t="s">
        <v>71</v>
      </c>
      <c r="D261" s="59" t="s">
        <v>429</v>
      </c>
      <c r="E261" s="59"/>
      <c r="F261" s="98">
        <f t="shared" si="49"/>
        <v>500</v>
      </c>
      <c r="G261" s="312">
        <f t="shared" si="49"/>
        <v>0</v>
      </c>
      <c r="H261" s="98">
        <f t="shared" si="49"/>
        <v>0</v>
      </c>
      <c r="I261" s="78">
        <f t="shared" si="38"/>
        <v>0</v>
      </c>
    </row>
    <row r="262" spans="1:9" s="53" customFormat="1" ht="24">
      <c r="A262" s="65" t="s">
        <v>486</v>
      </c>
      <c r="B262" s="66" t="s">
        <v>554</v>
      </c>
      <c r="C262" s="66" t="s">
        <v>71</v>
      </c>
      <c r="D262" s="66" t="s">
        <v>429</v>
      </c>
      <c r="E262" s="66" t="s">
        <v>77</v>
      </c>
      <c r="F262" s="99">
        <f t="shared" si="49"/>
        <v>500</v>
      </c>
      <c r="G262" s="311">
        <f t="shared" si="49"/>
        <v>0</v>
      </c>
      <c r="H262" s="99">
        <f t="shared" si="49"/>
        <v>0</v>
      </c>
      <c r="I262" s="79">
        <f t="shared" si="38"/>
        <v>0</v>
      </c>
    </row>
    <row r="263" spans="1:9" s="53" customFormat="1" ht="24">
      <c r="A263" s="65" t="s">
        <v>78</v>
      </c>
      <c r="B263" s="66" t="s">
        <v>554</v>
      </c>
      <c r="C263" s="66" t="s">
        <v>71</v>
      </c>
      <c r="D263" s="66" t="s">
        <v>429</v>
      </c>
      <c r="E263" s="66" t="s">
        <v>79</v>
      </c>
      <c r="F263" s="99">
        <v>500</v>
      </c>
      <c r="G263" s="311">
        <v>0</v>
      </c>
      <c r="H263" s="99">
        <f>500-500</f>
        <v>0</v>
      </c>
      <c r="I263" s="79">
        <f t="shared" ref="I263:I317" si="50">H263/F263*100</f>
        <v>0</v>
      </c>
    </row>
    <row r="264" spans="1:9" s="53" customFormat="1" ht="24">
      <c r="A264" s="58" t="s">
        <v>558</v>
      </c>
      <c r="B264" s="59" t="s">
        <v>559</v>
      </c>
      <c r="C264" s="59"/>
      <c r="D264" s="59"/>
      <c r="E264" s="59"/>
      <c r="F264" s="98">
        <f t="shared" ref="F264:H267" si="51">F265</f>
        <v>500</v>
      </c>
      <c r="G264" s="312">
        <f t="shared" si="51"/>
        <v>0</v>
      </c>
      <c r="H264" s="98">
        <f t="shared" si="51"/>
        <v>0</v>
      </c>
      <c r="I264" s="78">
        <f t="shared" si="50"/>
        <v>0</v>
      </c>
    </row>
    <row r="265" spans="1:9" s="53" customFormat="1" ht="12">
      <c r="A265" s="97" t="s">
        <v>321</v>
      </c>
      <c r="B265" s="59" t="s">
        <v>559</v>
      </c>
      <c r="C265" s="59" t="s">
        <v>71</v>
      </c>
      <c r="D265" s="59"/>
      <c r="E265" s="59"/>
      <c r="F265" s="98">
        <f t="shared" si="51"/>
        <v>500</v>
      </c>
      <c r="G265" s="312">
        <f t="shared" si="51"/>
        <v>0</v>
      </c>
      <c r="H265" s="98">
        <f t="shared" si="51"/>
        <v>0</v>
      </c>
      <c r="I265" s="78">
        <f t="shared" si="50"/>
        <v>0</v>
      </c>
    </row>
    <row r="266" spans="1:9" s="53" customFormat="1" ht="12">
      <c r="A266" s="97" t="s">
        <v>699</v>
      </c>
      <c r="B266" s="59" t="s">
        <v>559</v>
      </c>
      <c r="C266" s="59" t="s">
        <v>71</v>
      </c>
      <c r="D266" s="59" t="s">
        <v>429</v>
      </c>
      <c r="E266" s="59"/>
      <c r="F266" s="98">
        <f t="shared" si="51"/>
        <v>500</v>
      </c>
      <c r="G266" s="312">
        <f t="shared" si="51"/>
        <v>0</v>
      </c>
      <c r="H266" s="98">
        <f t="shared" si="51"/>
        <v>0</v>
      </c>
      <c r="I266" s="78">
        <f t="shared" si="50"/>
        <v>0</v>
      </c>
    </row>
    <row r="267" spans="1:9" s="53" customFormat="1" ht="24">
      <c r="A267" s="65" t="s">
        <v>486</v>
      </c>
      <c r="B267" s="66" t="s">
        <v>559</v>
      </c>
      <c r="C267" s="66" t="s">
        <v>71</v>
      </c>
      <c r="D267" s="66" t="s">
        <v>429</v>
      </c>
      <c r="E267" s="66" t="s">
        <v>77</v>
      </c>
      <c r="F267" s="99">
        <f t="shared" si="51"/>
        <v>500</v>
      </c>
      <c r="G267" s="311">
        <f t="shared" si="51"/>
        <v>0</v>
      </c>
      <c r="H267" s="99">
        <f t="shared" si="51"/>
        <v>0</v>
      </c>
      <c r="I267" s="79">
        <f t="shared" si="50"/>
        <v>0</v>
      </c>
    </row>
    <row r="268" spans="1:9" s="53" customFormat="1" ht="24">
      <c r="A268" s="65" t="s">
        <v>78</v>
      </c>
      <c r="B268" s="66" t="s">
        <v>559</v>
      </c>
      <c r="C268" s="66" t="s">
        <v>71</v>
      </c>
      <c r="D268" s="66" t="s">
        <v>429</v>
      </c>
      <c r="E268" s="66" t="s">
        <v>79</v>
      </c>
      <c r="F268" s="99">
        <v>500</v>
      </c>
      <c r="G268" s="311">
        <v>0</v>
      </c>
      <c r="H268" s="99">
        <f>500-500</f>
        <v>0</v>
      </c>
      <c r="I268" s="79">
        <f t="shared" si="50"/>
        <v>0</v>
      </c>
    </row>
    <row r="269" spans="1:9" s="53" customFormat="1" ht="24">
      <c r="A269" s="58" t="s">
        <v>560</v>
      </c>
      <c r="B269" s="59" t="s">
        <v>561</v>
      </c>
      <c r="C269" s="59"/>
      <c r="D269" s="59"/>
      <c r="E269" s="59"/>
      <c r="F269" s="98">
        <f t="shared" ref="F269:H272" si="52">F270</f>
        <v>300</v>
      </c>
      <c r="G269" s="312">
        <f t="shared" si="52"/>
        <v>0</v>
      </c>
      <c r="H269" s="98">
        <f t="shared" si="52"/>
        <v>0</v>
      </c>
      <c r="I269" s="78">
        <f t="shared" si="50"/>
        <v>0</v>
      </c>
    </row>
    <row r="270" spans="1:9" s="53" customFormat="1" ht="12">
      <c r="A270" s="97" t="s">
        <v>321</v>
      </c>
      <c r="B270" s="59" t="s">
        <v>561</v>
      </c>
      <c r="C270" s="59" t="s">
        <v>71</v>
      </c>
      <c r="D270" s="59"/>
      <c r="E270" s="59"/>
      <c r="F270" s="98">
        <f t="shared" si="52"/>
        <v>300</v>
      </c>
      <c r="G270" s="312">
        <f t="shared" si="52"/>
        <v>0</v>
      </c>
      <c r="H270" s="98">
        <f t="shared" si="52"/>
        <v>0</v>
      </c>
      <c r="I270" s="78">
        <f t="shared" si="50"/>
        <v>0</v>
      </c>
    </row>
    <row r="271" spans="1:9" s="53" customFormat="1" ht="12">
      <c r="A271" s="97" t="s">
        <v>699</v>
      </c>
      <c r="B271" s="59" t="s">
        <v>561</v>
      </c>
      <c r="C271" s="59" t="s">
        <v>71</v>
      </c>
      <c r="D271" s="59" t="s">
        <v>429</v>
      </c>
      <c r="E271" s="59"/>
      <c r="F271" s="98">
        <f t="shared" si="52"/>
        <v>300</v>
      </c>
      <c r="G271" s="312">
        <f t="shared" si="52"/>
        <v>0</v>
      </c>
      <c r="H271" s="98">
        <f t="shared" si="52"/>
        <v>0</v>
      </c>
      <c r="I271" s="78">
        <f t="shared" si="50"/>
        <v>0</v>
      </c>
    </row>
    <row r="272" spans="1:9" s="53" customFormat="1" ht="24">
      <c r="A272" s="65" t="s">
        <v>486</v>
      </c>
      <c r="B272" s="66" t="s">
        <v>561</v>
      </c>
      <c r="C272" s="66" t="s">
        <v>71</v>
      </c>
      <c r="D272" s="66" t="s">
        <v>429</v>
      </c>
      <c r="E272" s="66" t="s">
        <v>77</v>
      </c>
      <c r="F272" s="99">
        <f t="shared" si="52"/>
        <v>300</v>
      </c>
      <c r="G272" s="311">
        <f t="shared" si="52"/>
        <v>0</v>
      </c>
      <c r="H272" s="99">
        <f t="shared" si="52"/>
        <v>0</v>
      </c>
      <c r="I272" s="79">
        <f t="shared" si="50"/>
        <v>0</v>
      </c>
    </row>
    <row r="273" spans="1:9" s="53" customFormat="1" ht="24">
      <c r="A273" s="65" t="s">
        <v>78</v>
      </c>
      <c r="B273" s="66" t="s">
        <v>561</v>
      </c>
      <c r="C273" s="66" t="s">
        <v>71</v>
      </c>
      <c r="D273" s="66" t="s">
        <v>429</v>
      </c>
      <c r="E273" s="66" t="s">
        <v>79</v>
      </c>
      <c r="F273" s="99">
        <v>300</v>
      </c>
      <c r="G273" s="311">
        <v>0</v>
      </c>
      <c r="H273" s="99">
        <f>300-300</f>
        <v>0</v>
      </c>
      <c r="I273" s="79">
        <f t="shared" si="50"/>
        <v>0</v>
      </c>
    </row>
    <row r="274" spans="1:9" s="53" customFormat="1" ht="24">
      <c r="A274" s="181" t="s">
        <v>539</v>
      </c>
      <c r="B274" s="180" t="s">
        <v>211</v>
      </c>
      <c r="C274" s="168"/>
      <c r="D274" s="168"/>
      <c r="E274" s="179"/>
      <c r="F274" s="154">
        <f t="shared" ref="F274:H279" si="53">F275</f>
        <v>860</v>
      </c>
      <c r="G274" s="274">
        <f t="shared" si="53"/>
        <v>190.8</v>
      </c>
      <c r="H274" s="154">
        <f t="shared" si="53"/>
        <v>860</v>
      </c>
      <c r="I274" s="136">
        <f t="shared" si="50"/>
        <v>100</v>
      </c>
    </row>
    <row r="275" spans="1:9" s="53" customFormat="1" ht="36">
      <c r="A275" s="70" t="s">
        <v>472</v>
      </c>
      <c r="B275" s="75" t="s">
        <v>473</v>
      </c>
      <c r="C275" s="71"/>
      <c r="D275" s="71"/>
      <c r="E275" s="95"/>
      <c r="F275" s="80">
        <f t="shared" si="53"/>
        <v>860</v>
      </c>
      <c r="G275" s="299">
        <f t="shared" si="53"/>
        <v>190.8</v>
      </c>
      <c r="H275" s="80">
        <f t="shared" si="53"/>
        <v>860</v>
      </c>
      <c r="I275" s="72">
        <f t="shared" si="50"/>
        <v>100</v>
      </c>
    </row>
    <row r="276" spans="1:9" s="53" customFormat="1" ht="36">
      <c r="A276" s="58" t="s">
        <v>540</v>
      </c>
      <c r="B276" s="86" t="s">
        <v>541</v>
      </c>
      <c r="C276" s="59"/>
      <c r="D276" s="59"/>
      <c r="E276" s="94"/>
      <c r="F276" s="78">
        <f t="shared" si="53"/>
        <v>860</v>
      </c>
      <c r="G276" s="273">
        <f t="shared" si="53"/>
        <v>190.8</v>
      </c>
      <c r="H276" s="78">
        <f t="shared" si="53"/>
        <v>860</v>
      </c>
      <c r="I276" s="60">
        <f t="shared" si="50"/>
        <v>100</v>
      </c>
    </row>
    <row r="277" spans="1:9" s="53" customFormat="1" ht="12">
      <c r="A277" s="58" t="s">
        <v>103</v>
      </c>
      <c r="B277" s="86" t="s">
        <v>541</v>
      </c>
      <c r="C277" s="59" t="s">
        <v>69</v>
      </c>
      <c r="D277" s="59"/>
      <c r="E277" s="94"/>
      <c r="F277" s="78">
        <f t="shared" si="53"/>
        <v>860</v>
      </c>
      <c r="G277" s="273">
        <f t="shared" si="53"/>
        <v>190.8</v>
      </c>
      <c r="H277" s="78">
        <f t="shared" si="53"/>
        <v>860</v>
      </c>
      <c r="I277" s="60">
        <f t="shared" si="50"/>
        <v>100</v>
      </c>
    </row>
    <row r="278" spans="1:9" s="53" customFormat="1" ht="12">
      <c r="A278" s="58" t="s">
        <v>285</v>
      </c>
      <c r="B278" s="86" t="s">
        <v>541</v>
      </c>
      <c r="C278" s="59" t="s">
        <v>69</v>
      </c>
      <c r="D278" s="59" t="s">
        <v>86</v>
      </c>
      <c r="E278" s="94"/>
      <c r="F278" s="78">
        <f t="shared" si="53"/>
        <v>860</v>
      </c>
      <c r="G278" s="273">
        <f t="shared" si="53"/>
        <v>190.8</v>
      </c>
      <c r="H278" s="78">
        <f t="shared" si="53"/>
        <v>860</v>
      </c>
      <c r="I278" s="60">
        <f t="shared" si="50"/>
        <v>100</v>
      </c>
    </row>
    <row r="279" spans="1:9" s="53" customFormat="1" ht="24">
      <c r="A279" s="65" t="s">
        <v>486</v>
      </c>
      <c r="B279" s="76" t="s">
        <v>541</v>
      </c>
      <c r="C279" s="66" t="s">
        <v>69</v>
      </c>
      <c r="D279" s="66" t="s">
        <v>86</v>
      </c>
      <c r="E279" s="81">
        <v>200</v>
      </c>
      <c r="F279" s="79">
        <f t="shared" si="53"/>
        <v>860</v>
      </c>
      <c r="G279" s="272">
        <f t="shared" si="53"/>
        <v>190.8</v>
      </c>
      <c r="H279" s="79">
        <f t="shared" si="53"/>
        <v>860</v>
      </c>
      <c r="I279" s="67">
        <f t="shared" si="50"/>
        <v>100</v>
      </c>
    </row>
    <row r="280" spans="1:9" s="53" customFormat="1" ht="24">
      <c r="A280" s="65" t="s">
        <v>78</v>
      </c>
      <c r="B280" s="76" t="s">
        <v>541</v>
      </c>
      <c r="C280" s="66" t="s">
        <v>69</v>
      </c>
      <c r="D280" s="66" t="s">
        <v>86</v>
      </c>
      <c r="E280" s="81">
        <v>240</v>
      </c>
      <c r="F280" s="79">
        <v>860</v>
      </c>
      <c r="G280" s="272">
        <v>190.8</v>
      </c>
      <c r="H280" s="79">
        <v>860</v>
      </c>
      <c r="I280" s="67">
        <f t="shared" si="50"/>
        <v>100</v>
      </c>
    </row>
    <row r="281" spans="1:9" s="53" customFormat="1" ht="13.5">
      <c r="A281" s="138" t="s">
        <v>673</v>
      </c>
      <c r="B281" s="137" t="s">
        <v>139</v>
      </c>
      <c r="C281" s="137"/>
      <c r="D281" s="137"/>
      <c r="E281" s="137"/>
      <c r="F281" s="136">
        <f>F282+F343+F370+F393</f>
        <v>3080603.1814999995</v>
      </c>
      <c r="G281" s="283">
        <f>G282+G343+G370+G393</f>
        <v>2507404.9992279997</v>
      </c>
      <c r="H281" s="136">
        <f>H282+H343+H370+H393</f>
        <v>3080603.1814999995</v>
      </c>
      <c r="I281" s="136">
        <f t="shared" si="50"/>
        <v>100</v>
      </c>
    </row>
    <row r="282" spans="1:9" s="53" customFormat="1" ht="12">
      <c r="A282" s="58" t="s">
        <v>244</v>
      </c>
      <c r="B282" s="59" t="s">
        <v>140</v>
      </c>
      <c r="C282" s="59"/>
      <c r="D282" s="59"/>
      <c r="E282" s="59"/>
      <c r="F282" s="60">
        <f>F283+F289+F295+F301+F307+F313+F325+F331+F337</f>
        <v>3020169.0894999998</v>
      </c>
      <c r="G282" s="282">
        <f>G283+G289+G295+G301+G307+G313+G325+G331+G337</f>
        <v>2462575.6944579999</v>
      </c>
      <c r="H282" s="60">
        <f>H283+H289+H295+H301+H307+H313+H325+H331+H337</f>
        <v>3020169.0894999998</v>
      </c>
      <c r="I282" s="60">
        <f t="shared" si="50"/>
        <v>100</v>
      </c>
    </row>
    <row r="283" spans="1:9" s="53" customFormat="1" ht="24">
      <c r="A283" s="70" t="s">
        <v>245</v>
      </c>
      <c r="B283" s="71" t="s">
        <v>141</v>
      </c>
      <c r="C283" s="71"/>
      <c r="D283" s="71"/>
      <c r="E283" s="71"/>
      <c r="F283" s="72">
        <f t="shared" ref="F283:H285" si="54">F284</f>
        <v>488009.70191999996</v>
      </c>
      <c r="G283" s="281">
        <f t="shared" si="54"/>
        <v>387357.19096000004</v>
      </c>
      <c r="H283" s="72">
        <f t="shared" si="54"/>
        <v>488009.70191999996</v>
      </c>
      <c r="I283" s="72">
        <f t="shared" si="50"/>
        <v>100</v>
      </c>
    </row>
    <row r="284" spans="1:9" s="53" customFormat="1" ht="12">
      <c r="A284" s="58" t="s">
        <v>338</v>
      </c>
      <c r="B284" s="59" t="s">
        <v>659</v>
      </c>
      <c r="C284" s="59" t="s">
        <v>430</v>
      </c>
      <c r="D284" s="59"/>
      <c r="E284" s="59"/>
      <c r="F284" s="60">
        <f t="shared" si="54"/>
        <v>488009.70191999996</v>
      </c>
      <c r="G284" s="282">
        <f t="shared" si="54"/>
        <v>387357.19096000004</v>
      </c>
      <c r="H284" s="60">
        <f t="shared" si="54"/>
        <v>488009.70191999996</v>
      </c>
      <c r="I284" s="60">
        <f t="shared" si="50"/>
        <v>100</v>
      </c>
    </row>
    <row r="285" spans="1:9" s="53" customFormat="1" ht="12">
      <c r="A285" s="58" t="s">
        <v>339</v>
      </c>
      <c r="B285" s="59" t="s">
        <v>659</v>
      </c>
      <c r="C285" s="59" t="s">
        <v>430</v>
      </c>
      <c r="D285" s="59" t="s">
        <v>69</v>
      </c>
      <c r="E285" s="59"/>
      <c r="F285" s="60">
        <f t="shared" si="54"/>
        <v>488009.70191999996</v>
      </c>
      <c r="G285" s="282">
        <f t="shared" si="54"/>
        <v>387357.19096000004</v>
      </c>
      <c r="H285" s="60">
        <f t="shared" si="54"/>
        <v>488009.70191999996</v>
      </c>
      <c r="I285" s="60">
        <f t="shared" si="50"/>
        <v>100</v>
      </c>
    </row>
    <row r="286" spans="1:9" s="53" customFormat="1" ht="24">
      <c r="A286" s="65" t="s">
        <v>94</v>
      </c>
      <c r="B286" s="66" t="s">
        <v>659</v>
      </c>
      <c r="C286" s="66" t="s">
        <v>430</v>
      </c>
      <c r="D286" s="66" t="s">
        <v>69</v>
      </c>
      <c r="E286" s="66" t="s">
        <v>362</v>
      </c>
      <c r="F286" s="67">
        <f>F287+F288</f>
        <v>488009.70191999996</v>
      </c>
      <c r="G286" s="280">
        <f>G287+G288</f>
        <v>387357.19096000004</v>
      </c>
      <c r="H286" s="67">
        <f>H287+H288</f>
        <v>488009.70191999996</v>
      </c>
      <c r="I286" s="67">
        <f t="shared" si="50"/>
        <v>100</v>
      </c>
    </row>
    <row r="287" spans="1:9" s="53" customFormat="1" ht="12">
      <c r="A287" s="65" t="s">
        <v>95</v>
      </c>
      <c r="B287" s="66" t="s">
        <v>659</v>
      </c>
      <c r="C287" s="66" t="s">
        <v>430</v>
      </c>
      <c r="D287" s="66" t="s">
        <v>69</v>
      </c>
      <c r="E287" s="66" t="s">
        <v>371</v>
      </c>
      <c r="F287" s="67">
        <v>425553.61203999998</v>
      </c>
      <c r="G287" s="280">
        <v>343005.94884000003</v>
      </c>
      <c r="H287" s="67">
        <v>425553.61203999998</v>
      </c>
      <c r="I287" s="67">
        <f t="shared" si="50"/>
        <v>100</v>
      </c>
    </row>
    <row r="288" spans="1:9" s="53" customFormat="1" ht="12">
      <c r="A288" s="65" t="s">
        <v>447</v>
      </c>
      <c r="B288" s="66" t="s">
        <v>659</v>
      </c>
      <c r="C288" s="66" t="s">
        <v>430</v>
      </c>
      <c r="D288" s="66" t="s">
        <v>69</v>
      </c>
      <c r="E288" s="66" t="s">
        <v>448</v>
      </c>
      <c r="F288" s="67">
        <v>62456.08988</v>
      </c>
      <c r="G288" s="280">
        <v>44351.242120000003</v>
      </c>
      <c r="H288" s="67">
        <v>62456.08988</v>
      </c>
      <c r="I288" s="67">
        <f t="shared" si="50"/>
        <v>100</v>
      </c>
    </row>
    <row r="289" spans="1:9" s="53" customFormat="1" ht="48">
      <c r="A289" s="70" t="s">
        <v>322</v>
      </c>
      <c r="B289" s="71" t="s">
        <v>142</v>
      </c>
      <c r="C289" s="71"/>
      <c r="D289" s="71"/>
      <c r="E289" s="71"/>
      <c r="F289" s="80">
        <f t="shared" ref="F289:H291" si="55">F290</f>
        <v>792010</v>
      </c>
      <c r="G289" s="299">
        <f t="shared" si="55"/>
        <v>660254.18103999994</v>
      </c>
      <c r="H289" s="80">
        <f t="shared" si="55"/>
        <v>792010</v>
      </c>
      <c r="I289" s="72">
        <f t="shared" si="50"/>
        <v>100</v>
      </c>
    </row>
    <row r="290" spans="1:9" s="53" customFormat="1" ht="12">
      <c r="A290" s="58" t="s">
        <v>338</v>
      </c>
      <c r="B290" s="59" t="s">
        <v>142</v>
      </c>
      <c r="C290" s="59" t="s">
        <v>430</v>
      </c>
      <c r="D290" s="59"/>
      <c r="E290" s="59"/>
      <c r="F290" s="78">
        <f t="shared" si="55"/>
        <v>792010</v>
      </c>
      <c r="G290" s="273">
        <f t="shared" si="55"/>
        <v>660254.18103999994</v>
      </c>
      <c r="H290" s="78">
        <f t="shared" si="55"/>
        <v>792010</v>
      </c>
      <c r="I290" s="60">
        <f t="shared" si="50"/>
        <v>100</v>
      </c>
    </row>
    <row r="291" spans="1:9" s="53" customFormat="1" ht="12">
      <c r="A291" s="58" t="s">
        <v>339</v>
      </c>
      <c r="B291" s="59" t="s">
        <v>142</v>
      </c>
      <c r="C291" s="59" t="s">
        <v>430</v>
      </c>
      <c r="D291" s="59" t="s">
        <v>69</v>
      </c>
      <c r="E291" s="59"/>
      <c r="F291" s="78">
        <f t="shared" si="55"/>
        <v>792010</v>
      </c>
      <c r="G291" s="273">
        <f t="shared" si="55"/>
        <v>660254.18103999994</v>
      </c>
      <c r="H291" s="78">
        <f t="shared" si="55"/>
        <v>792010</v>
      </c>
      <c r="I291" s="60">
        <f t="shared" si="50"/>
        <v>100</v>
      </c>
    </row>
    <row r="292" spans="1:9" s="53" customFormat="1" ht="24">
      <c r="A292" s="65" t="s">
        <v>94</v>
      </c>
      <c r="B292" s="66" t="s">
        <v>142</v>
      </c>
      <c r="C292" s="66" t="s">
        <v>430</v>
      </c>
      <c r="D292" s="66" t="s">
        <v>69</v>
      </c>
      <c r="E292" s="66" t="s">
        <v>362</v>
      </c>
      <c r="F292" s="79">
        <f>F293+F294</f>
        <v>792010</v>
      </c>
      <c r="G292" s="272">
        <f>G293+G294</f>
        <v>660254.18103999994</v>
      </c>
      <c r="H292" s="79">
        <f>H293+H294</f>
        <v>792010</v>
      </c>
      <c r="I292" s="67">
        <f t="shared" si="50"/>
        <v>100</v>
      </c>
    </row>
    <row r="293" spans="1:9" s="53" customFormat="1" ht="12">
      <c r="A293" s="65" t="s">
        <v>95</v>
      </c>
      <c r="B293" s="66" t="s">
        <v>142</v>
      </c>
      <c r="C293" s="66" t="s">
        <v>430</v>
      </c>
      <c r="D293" s="66" t="s">
        <v>69</v>
      </c>
      <c r="E293" s="66" t="s">
        <v>371</v>
      </c>
      <c r="F293" s="79">
        <f>634157+89402.482</f>
        <v>723559.48199999996</v>
      </c>
      <c r="G293" s="272">
        <v>599370.24049999996</v>
      </c>
      <c r="H293" s="79">
        <f>634157+89402.482</f>
        <v>723559.48199999996</v>
      </c>
      <c r="I293" s="67">
        <f t="shared" si="50"/>
        <v>100</v>
      </c>
    </row>
    <row r="294" spans="1:9" s="53" customFormat="1" ht="12">
      <c r="A294" s="65" t="s">
        <v>447</v>
      </c>
      <c r="B294" s="66" t="s">
        <v>142</v>
      </c>
      <c r="C294" s="66" t="s">
        <v>430</v>
      </c>
      <c r="D294" s="66" t="s">
        <v>69</v>
      </c>
      <c r="E294" s="66" t="s">
        <v>448</v>
      </c>
      <c r="F294" s="79">
        <f>65877+2573.518</f>
        <v>68450.517999999996</v>
      </c>
      <c r="G294" s="272">
        <v>60883.940540000003</v>
      </c>
      <c r="H294" s="79">
        <f>65877+2573.518</f>
        <v>68450.517999999996</v>
      </c>
      <c r="I294" s="67">
        <f t="shared" si="50"/>
        <v>100</v>
      </c>
    </row>
    <row r="295" spans="1:9" s="53" customFormat="1" ht="60">
      <c r="A295" s="84" t="s">
        <v>330</v>
      </c>
      <c r="B295" s="71" t="s">
        <v>247</v>
      </c>
      <c r="C295" s="71"/>
      <c r="D295" s="71"/>
      <c r="E295" s="71"/>
      <c r="F295" s="80">
        <f t="shared" ref="F295:H297" si="56">F296</f>
        <v>991316</v>
      </c>
      <c r="G295" s="299">
        <f t="shared" si="56"/>
        <v>869287.21381999995</v>
      </c>
      <c r="H295" s="80">
        <f t="shared" si="56"/>
        <v>991316</v>
      </c>
      <c r="I295" s="72">
        <f t="shared" si="50"/>
        <v>100</v>
      </c>
    </row>
    <row r="296" spans="1:9" s="53" customFormat="1" ht="12">
      <c r="A296" s="58" t="s">
        <v>338</v>
      </c>
      <c r="B296" s="59" t="s">
        <v>247</v>
      </c>
      <c r="C296" s="59" t="s">
        <v>430</v>
      </c>
      <c r="D296" s="59"/>
      <c r="E296" s="59"/>
      <c r="F296" s="78">
        <f t="shared" si="56"/>
        <v>991316</v>
      </c>
      <c r="G296" s="273">
        <f t="shared" si="56"/>
        <v>869287.21381999995</v>
      </c>
      <c r="H296" s="78">
        <f t="shared" si="56"/>
        <v>991316</v>
      </c>
      <c r="I296" s="60">
        <f t="shared" si="50"/>
        <v>100</v>
      </c>
    </row>
    <row r="297" spans="1:9" s="53" customFormat="1" ht="12">
      <c r="A297" s="58" t="s">
        <v>340</v>
      </c>
      <c r="B297" s="59" t="s">
        <v>247</v>
      </c>
      <c r="C297" s="59" t="s">
        <v>430</v>
      </c>
      <c r="D297" s="59" t="s">
        <v>431</v>
      </c>
      <c r="E297" s="59"/>
      <c r="F297" s="78">
        <f t="shared" si="56"/>
        <v>991316</v>
      </c>
      <c r="G297" s="273">
        <f t="shared" si="56"/>
        <v>869287.21381999995</v>
      </c>
      <c r="H297" s="78">
        <f t="shared" si="56"/>
        <v>991316</v>
      </c>
      <c r="I297" s="60">
        <f t="shared" si="50"/>
        <v>100</v>
      </c>
    </row>
    <row r="298" spans="1:9" s="53" customFormat="1" ht="24">
      <c r="A298" s="65" t="s">
        <v>94</v>
      </c>
      <c r="B298" s="66" t="s">
        <v>247</v>
      </c>
      <c r="C298" s="66" t="s">
        <v>430</v>
      </c>
      <c r="D298" s="66" t="s">
        <v>431</v>
      </c>
      <c r="E298" s="66" t="s">
        <v>362</v>
      </c>
      <c r="F298" s="79">
        <f>F299+F300</f>
        <v>991316</v>
      </c>
      <c r="G298" s="272">
        <f>G299+G300</f>
        <v>869287.21381999995</v>
      </c>
      <c r="H298" s="79">
        <f>H299+H300</f>
        <v>991316</v>
      </c>
      <c r="I298" s="67">
        <f t="shared" si="50"/>
        <v>100</v>
      </c>
    </row>
    <row r="299" spans="1:9" s="53" customFormat="1" ht="12">
      <c r="A299" s="65" t="s">
        <v>95</v>
      </c>
      <c r="B299" s="66" t="s">
        <v>247</v>
      </c>
      <c r="C299" s="66" t="s">
        <v>430</v>
      </c>
      <c r="D299" s="66" t="s">
        <v>431</v>
      </c>
      <c r="E299" s="66" t="s">
        <v>371</v>
      </c>
      <c r="F299" s="67">
        <f>852553.4-46.8+97720</f>
        <v>950226.6</v>
      </c>
      <c r="G299" s="280">
        <v>833725.61702000001</v>
      </c>
      <c r="H299" s="67">
        <f>852553.4-46.8+97720</f>
        <v>950226.6</v>
      </c>
      <c r="I299" s="67">
        <f t="shared" si="50"/>
        <v>100</v>
      </c>
    </row>
    <row r="300" spans="1:9" s="53" customFormat="1" ht="12">
      <c r="A300" s="65" t="s">
        <v>447</v>
      </c>
      <c r="B300" s="66" t="s">
        <v>247</v>
      </c>
      <c r="C300" s="66" t="s">
        <v>430</v>
      </c>
      <c r="D300" s="66" t="s">
        <v>431</v>
      </c>
      <c r="E300" s="66" t="s">
        <v>448</v>
      </c>
      <c r="F300" s="67">
        <f>41042.6+46.8</f>
        <v>41089.4</v>
      </c>
      <c r="G300" s="280">
        <v>35561.596799999999</v>
      </c>
      <c r="H300" s="67">
        <f>41042.6+46.8</f>
        <v>41089.4</v>
      </c>
      <c r="I300" s="67">
        <f t="shared" si="50"/>
        <v>100</v>
      </c>
    </row>
    <row r="301" spans="1:9" s="53" customFormat="1" ht="24">
      <c r="A301" s="58" t="s">
        <v>246</v>
      </c>
      <c r="B301" s="59" t="s">
        <v>145</v>
      </c>
      <c r="C301" s="59"/>
      <c r="D301" s="59"/>
      <c r="E301" s="59"/>
      <c r="F301" s="60">
        <f t="shared" ref="F301:H303" si="57">F302</f>
        <v>287161.31708000001</v>
      </c>
      <c r="G301" s="282">
        <f t="shared" si="57"/>
        <v>231962.62142000001</v>
      </c>
      <c r="H301" s="60">
        <f t="shared" si="57"/>
        <v>287161.31708000001</v>
      </c>
      <c r="I301" s="60">
        <f t="shared" si="50"/>
        <v>100</v>
      </c>
    </row>
    <row r="302" spans="1:9" s="52" customFormat="1" ht="12">
      <c r="A302" s="58" t="s">
        <v>338</v>
      </c>
      <c r="B302" s="59" t="s">
        <v>660</v>
      </c>
      <c r="C302" s="59" t="s">
        <v>430</v>
      </c>
      <c r="D302" s="59"/>
      <c r="E302" s="59"/>
      <c r="F302" s="60">
        <f t="shared" si="57"/>
        <v>287161.31708000001</v>
      </c>
      <c r="G302" s="282">
        <f t="shared" si="57"/>
        <v>231962.62142000001</v>
      </c>
      <c r="H302" s="60">
        <f t="shared" si="57"/>
        <v>287161.31708000001</v>
      </c>
      <c r="I302" s="60">
        <f t="shared" si="50"/>
        <v>100</v>
      </c>
    </row>
    <row r="303" spans="1:9" s="52" customFormat="1" ht="12">
      <c r="A303" s="58" t="s">
        <v>340</v>
      </c>
      <c r="B303" s="59" t="s">
        <v>660</v>
      </c>
      <c r="C303" s="59" t="s">
        <v>430</v>
      </c>
      <c r="D303" s="59" t="s">
        <v>431</v>
      </c>
      <c r="E303" s="59"/>
      <c r="F303" s="60">
        <f t="shared" si="57"/>
        <v>287161.31708000001</v>
      </c>
      <c r="G303" s="282">
        <f t="shared" si="57"/>
        <v>231962.62142000001</v>
      </c>
      <c r="H303" s="60">
        <f t="shared" si="57"/>
        <v>287161.31708000001</v>
      </c>
      <c r="I303" s="60">
        <f t="shared" si="50"/>
        <v>100</v>
      </c>
    </row>
    <row r="304" spans="1:9" s="53" customFormat="1" ht="24">
      <c r="A304" s="65" t="s">
        <v>94</v>
      </c>
      <c r="B304" s="66" t="s">
        <v>660</v>
      </c>
      <c r="C304" s="66" t="s">
        <v>430</v>
      </c>
      <c r="D304" s="66" t="s">
        <v>431</v>
      </c>
      <c r="E304" s="66" t="s">
        <v>362</v>
      </c>
      <c r="F304" s="67">
        <f>F305+F306</f>
        <v>287161.31708000001</v>
      </c>
      <c r="G304" s="280">
        <f>G305+G306</f>
        <v>231962.62142000001</v>
      </c>
      <c r="H304" s="67">
        <f>H305+H306</f>
        <v>287161.31708000001</v>
      </c>
      <c r="I304" s="67">
        <f t="shared" si="50"/>
        <v>100</v>
      </c>
    </row>
    <row r="305" spans="1:9" s="53" customFormat="1" ht="12">
      <c r="A305" s="65" t="s">
        <v>95</v>
      </c>
      <c r="B305" s="66" t="s">
        <v>660</v>
      </c>
      <c r="C305" s="66" t="s">
        <v>430</v>
      </c>
      <c r="D305" s="66" t="s">
        <v>431</v>
      </c>
      <c r="E305" s="66" t="s">
        <v>371</v>
      </c>
      <c r="F305" s="67">
        <v>277793.09933</v>
      </c>
      <c r="G305" s="280">
        <v>225042.21921000001</v>
      </c>
      <c r="H305" s="67">
        <v>277793.09933</v>
      </c>
      <c r="I305" s="67">
        <f t="shared" si="50"/>
        <v>100</v>
      </c>
    </row>
    <row r="306" spans="1:9" s="53" customFormat="1" ht="12">
      <c r="A306" s="65" t="s">
        <v>447</v>
      </c>
      <c r="B306" s="66" t="s">
        <v>660</v>
      </c>
      <c r="C306" s="66" t="s">
        <v>430</v>
      </c>
      <c r="D306" s="66" t="s">
        <v>431</v>
      </c>
      <c r="E306" s="66" t="s">
        <v>448</v>
      </c>
      <c r="F306" s="67">
        <v>9368.2177499999998</v>
      </c>
      <c r="G306" s="280">
        <v>6920.4022100000002</v>
      </c>
      <c r="H306" s="67">
        <v>9368.2177499999998</v>
      </c>
      <c r="I306" s="67">
        <f t="shared" si="50"/>
        <v>100</v>
      </c>
    </row>
    <row r="307" spans="1:9" s="53" customFormat="1" ht="24">
      <c r="A307" s="70" t="s">
        <v>249</v>
      </c>
      <c r="B307" s="71" t="s">
        <v>146</v>
      </c>
      <c r="C307" s="71"/>
      <c r="D307" s="71"/>
      <c r="E307" s="71"/>
      <c r="F307" s="72">
        <f t="shared" ref="F307:H309" si="58">F308</f>
        <v>101273.7</v>
      </c>
      <c r="G307" s="281">
        <f t="shared" si="58"/>
        <v>83640.682660000006</v>
      </c>
      <c r="H307" s="72">
        <f t="shared" si="58"/>
        <v>101273.7</v>
      </c>
      <c r="I307" s="72">
        <f t="shared" si="50"/>
        <v>100</v>
      </c>
    </row>
    <row r="308" spans="1:9" s="53" customFormat="1" ht="12">
      <c r="A308" s="58" t="s">
        <v>338</v>
      </c>
      <c r="B308" s="59" t="s">
        <v>662</v>
      </c>
      <c r="C308" s="59" t="s">
        <v>430</v>
      </c>
      <c r="D308" s="59"/>
      <c r="E308" s="59"/>
      <c r="F308" s="60">
        <f t="shared" si="58"/>
        <v>101273.7</v>
      </c>
      <c r="G308" s="282">
        <f t="shared" si="58"/>
        <v>83640.682660000006</v>
      </c>
      <c r="H308" s="60">
        <f t="shared" si="58"/>
        <v>101273.7</v>
      </c>
      <c r="I308" s="60">
        <f t="shared" si="50"/>
        <v>100</v>
      </c>
    </row>
    <row r="309" spans="1:9" s="53" customFormat="1" ht="12">
      <c r="A309" s="58" t="s">
        <v>248</v>
      </c>
      <c r="B309" s="59" t="s">
        <v>662</v>
      </c>
      <c r="C309" s="59" t="s">
        <v>430</v>
      </c>
      <c r="D309" s="59" t="s">
        <v>423</v>
      </c>
      <c r="E309" s="59"/>
      <c r="F309" s="60">
        <f t="shared" si="58"/>
        <v>101273.7</v>
      </c>
      <c r="G309" s="282">
        <f t="shared" si="58"/>
        <v>83640.682660000006</v>
      </c>
      <c r="H309" s="60">
        <f t="shared" si="58"/>
        <v>101273.7</v>
      </c>
      <c r="I309" s="60">
        <f t="shared" si="50"/>
        <v>100</v>
      </c>
    </row>
    <row r="310" spans="1:9" s="53" customFormat="1" ht="24">
      <c r="A310" s="65" t="s">
        <v>94</v>
      </c>
      <c r="B310" s="66" t="s">
        <v>662</v>
      </c>
      <c r="C310" s="66" t="s">
        <v>430</v>
      </c>
      <c r="D310" s="66" t="s">
        <v>423</v>
      </c>
      <c r="E310" s="66" t="s">
        <v>362</v>
      </c>
      <c r="F310" s="67">
        <f>F311+F312</f>
        <v>101273.7</v>
      </c>
      <c r="G310" s="280">
        <f>G311+G312</f>
        <v>83640.682660000006</v>
      </c>
      <c r="H310" s="67">
        <f>H311+H312</f>
        <v>101273.7</v>
      </c>
      <c r="I310" s="67">
        <f t="shared" si="50"/>
        <v>100</v>
      </c>
    </row>
    <row r="311" spans="1:9" s="53" customFormat="1" ht="12">
      <c r="A311" s="65" t="s">
        <v>95</v>
      </c>
      <c r="B311" s="66" t="s">
        <v>662</v>
      </c>
      <c r="C311" s="66" t="s">
        <v>430</v>
      </c>
      <c r="D311" s="66" t="s">
        <v>423</v>
      </c>
      <c r="E311" s="66" t="s">
        <v>371</v>
      </c>
      <c r="F311" s="67">
        <v>1002.304</v>
      </c>
      <c r="G311" s="280">
        <v>1002.304</v>
      </c>
      <c r="H311" s="67">
        <v>1002.304</v>
      </c>
      <c r="I311" s="67">
        <f t="shared" si="50"/>
        <v>100</v>
      </c>
    </row>
    <row r="312" spans="1:9" s="53" customFormat="1" ht="12">
      <c r="A312" s="65" t="s">
        <v>447</v>
      </c>
      <c r="B312" s="66" t="s">
        <v>662</v>
      </c>
      <c r="C312" s="66" t="s">
        <v>430</v>
      </c>
      <c r="D312" s="66" t="s">
        <v>423</v>
      </c>
      <c r="E312" s="66" t="s">
        <v>448</v>
      </c>
      <c r="F312" s="67">
        <v>100271.39599999999</v>
      </c>
      <c r="G312" s="280">
        <v>82638.378660000002</v>
      </c>
      <c r="H312" s="67">
        <v>100271.39599999999</v>
      </c>
      <c r="I312" s="67">
        <f t="shared" si="50"/>
        <v>100</v>
      </c>
    </row>
    <row r="313" spans="1:9" s="53" customFormat="1" ht="24">
      <c r="A313" s="70" t="s">
        <v>251</v>
      </c>
      <c r="B313" s="71" t="s">
        <v>250</v>
      </c>
      <c r="C313" s="71"/>
      <c r="D313" s="71"/>
      <c r="E313" s="71"/>
      <c r="F313" s="72">
        <f>F314+F320</f>
        <v>82270.2</v>
      </c>
      <c r="G313" s="281">
        <f>G314+G320</f>
        <v>62853.085558000006</v>
      </c>
      <c r="H313" s="72">
        <f>H314+H320</f>
        <v>82270.2</v>
      </c>
      <c r="I313" s="72">
        <f t="shared" si="50"/>
        <v>100</v>
      </c>
    </row>
    <row r="314" spans="1:9" s="53" customFormat="1" ht="12">
      <c r="A314" s="58" t="s">
        <v>338</v>
      </c>
      <c r="B314" s="59" t="s">
        <v>663</v>
      </c>
      <c r="C314" s="59" t="s">
        <v>430</v>
      </c>
      <c r="D314" s="59"/>
      <c r="E314" s="59"/>
      <c r="F314" s="60">
        <f t="shared" ref="F314:H315" si="59">F315</f>
        <v>9279.2000000000007</v>
      </c>
      <c r="G314" s="282">
        <f t="shared" si="59"/>
        <v>6284.14876</v>
      </c>
      <c r="H314" s="60">
        <f t="shared" si="59"/>
        <v>9279.2000000000007</v>
      </c>
      <c r="I314" s="60">
        <f t="shared" si="50"/>
        <v>100</v>
      </c>
    </row>
    <row r="315" spans="1:9" s="53" customFormat="1" ht="12">
      <c r="A315" s="58" t="s">
        <v>703</v>
      </c>
      <c r="B315" s="59" t="s">
        <v>663</v>
      </c>
      <c r="C315" s="59" t="s">
        <v>430</v>
      </c>
      <c r="D315" s="59" t="s">
        <v>424</v>
      </c>
      <c r="E315" s="59"/>
      <c r="F315" s="60">
        <f t="shared" si="59"/>
        <v>9279.2000000000007</v>
      </c>
      <c r="G315" s="282">
        <f t="shared" si="59"/>
        <v>6284.14876</v>
      </c>
      <c r="H315" s="60">
        <f t="shared" si="59"/>
        <v>9279.2000000000007</v>
      </c>
      <c r="I315" s="60">
        <f t="shared" si="50"/>
        <v>100</v>
      </c>
    </row>
    <row r="316" spans="1:9" s="53" customFormat="1" ht="24">
      <c r="A316" s="65" t="s">
        <v>94</v>
      </c>
      <c r="B316" s="66" t="s">
        <v>663</v>
      </c>
      <c r="C316" s="66" t="s">
        <v>430</v>
      </c>
      <c r="D316" s="66" t="s">
        <v>424</v>
      </c>
      <c r="E316" s="66" t="s">
        <v>362</v>
      </c>
      <c r="F316" s="67">
        <f>F317+F318</f>
        <v>9279.2000000000007</v>
      </c>
      <c r="G316" s="280">
        <f>G317+G318</f>
        <v>6284.14876</v>
      </c>
      <c r="H316" s="67">
        <f>H317+H318</f>
        <v>9279.2000000000007</v>
      </c>
      <c r="I316" s="67">
        <f t="shared" si="50"/>
        <v>100</v>
      </c>
    </row>
    <row r="317" spans="1:9" s="53" customFormat="1" ht="12">
      <c r="A317" s="65" t="s">
        <v>95</v>
      </c>
      <c r="B317" s="66" t="s">
        <v>663</v>
      </c>
      <c r="C317" s="66" t="s">
        <v>430</v>
      </c>
      <c r="D317" s="66" t="s">
        <v>424</v>
      </c>
      <c r="E317" s="66" t="s">
        <v>371</v>
      </c>
      <c r="F317" s="67">
        <v>9279.2000000000007</v>
      </c>
      <c r="G317" s="280">
        <v>6284.14876</v>
      </c>
      <c r="H317" s="67">
        <v>9279.2000000000007</v>
      </c>
      <c r="I317" s="67">
        <f t="shared" si="50"/>
        <v>100</v>
      </c>
    </row>
    <row r="318" spans="1:9" s="53" customFormat="1" ht="12">
      <c r="A318" s="65" t="s">
        <v>447</v>
      </c>
      <c r="B318" s="66" t="s">
        <v>663</v>
      </c>
      <c r="C318" s="66" t="s">
        <v>430</v>
      </c>
      <c r="D318" s="66" t="s">
        <v>424</v>
      </c>
      <c r="E318" s="66" t="s">
        <v>448</v>
      </c>
      <c r="F318" s="79">
        <v>0</v>
      </c>
      <c r="G318" s="272">
        <v>0</v>
      </c>
      <c r="H318" s="79">
        <v>0</v>
      </c>
      <c r="I318" s="67" t="s">
        <v>793</v>
      </c>
    </row>
    <row r="319" spans="1:9" s="53" customFormat="1" ht="24">
      <c r="A319" s="70" t="s">
        <v>257</v>
      </c>
      <c r="B319" s="71" t="s">
        <v>252</v>
      </c>
      <c r="C319" s="83"/>
      <c r="D319" s="83"/>
      <c r="E319" s="71"/>
      <c r="F319" s="72">
        <f t="shared" ref="F319:H321" si="60">F320</f>
        <v>72991</v>
      </c>
      <c r="G319" s="281">
        <f t="shared" si="60"/>
        <v>56568.936798000002</v>
      </c>
      <c r="H319" s="72">
        <f t="shared" si="60"/>
        <v>72991</v>
      </c>
      <c r="I319" s="72">
        <f t="shared" ref="I319:I382" si="61">H319/F319*100</f>
        <v>100</v>
      </c>
    </row>
    <row r="320" spans="1:9" s="53" customFormat="1" ht="12">
      <c r="A320" s="58" t="s">
        <v>338</v>
      </c>
      <c r="B320" s="59" t="s">
        <v>664</v>
      </c>
      <c r="C320" s="59" t="s">
        <v>430</v>
      </c>
      <c r="D320" s="59"/>
      <c r="E320" s="59"/>
      <c r="F320" s="60">
        <f t="shared" si="60"/>
        <v>72991</v>
      </c>
      <c r="G320" s="282">
        <f t="shared" si="60"/>
        <v>56568.936798000002</v>
      </c>
      <c r="H320" s="60">
        <f t="shared" si="60"/>
        <v>72991</v>
      </c>
      <c r="I320" s="60">
        <f t="shared" si="61"/>
        <v>100</v>
      </c>
    </row>
    <row r="321" spans="1:9" s="53" customFormat="1" ht="12">
      <c r="A321" s="58" t="s">
        <v>703</v>
      </c>
      <c r="B321" s="59" t="s">
        <v>664</v>
      </c>
      <c r="C321" s="59" t="s">
        <v>430</v>
      </c>
      <c r="D321" s="59" t="s">
        <v>424</v>
      </c>
      <c r="E321" s="59"/>
      <c r="F321" s="60">
        <f t="shared" si="60"/>
        <v>72991</v>
      </c>
      <c r="G321" s="282">
        <f t="shared" si="60"/>
        <v>56568.936798000002</v>
      </c>
      <c r="H321" s="60">
        <f t="shared" si="60"/>
        <v>72991</v>
      </c>
      <c r="I321" s="60">
        <f t="shared" si="61"/>
        <v>100</v>
      </c>
    </row>
    <row r="322" spans="1:9" s="53" customFormat="1" ht="24">
      <c r="A322" s="65" t="s">
        <v>94</v>
      </c>
      <c r="B322" s="66" t="s">
        <v>664</v>
      </c>
      <c r="C322" s="66" t="s">
        <v>430</v>
      </c>
      <c r="D322" s="66" t="s">
        <v>424</v>
      </c>
      <c r="E322" s="66" t="s">
        <v>362</v>
      </c>
      <c r="F322" s="67">
        <f>F323+F324</f>
        <v>72991</v>
      </c>
      <c r="G322" s="280">
        <f>G323+G324</f>
        <v>56568.936798000002</v>
      </c>
      <c r="H322" s="67">
        <f>H323+H324</f>
        <v>72991</v>
      </c>
      <c r="I322" s="67">
        <f t="shared" si="61"/>
        <v>100</v>
      </c>
    </row>
    <row r="323" spans="1:9" s="53" customFormat="1" ht="12">
      <c r="A323" s="65" t="s">
        <v>95</v>
      </c>
      <c r="B323" s="66" t="s">
        <v>664</v>
      </c>
      <c r="C323" s="66" t="s">
        <v>430</v>
      </c>
      <c r="D323" s="66" t="s">
        <v>424</v>
      </c>
      <c r="E323" s="66" t="s">
        <v>371</v>
      </c>
      <c r="F323" s="67">
        <v>65789.364879999994</v>
      </c>
      <c r="G323" s="280">
        <v>51341.047910000001</v>
      </c>
      <c r="H323" s="67">
        <v>65789.364879999994</v>
      </c>
      <c r="I323" s="67">
        <f t="shared" si="61"/>
        <v>100</v>
      </c>
    </row>
    <row r="324" spans="1:9" s="53" customFormat="1" ht="12">
      <c r="A324" s="65" t="s">
        <v>447</v>
      </c>
      <c r="B324" s="66" t="s">
        <v>664</v>
      </c>
      <c r="C324" s="66" t="s">
        <v>430</v>
      </c>
      <c r="D324" s="66" t="s">
        <v>424</v>
      </c>
      <c r="E324" s="66" t="s">
        <v>448</v>
      </c>
      <c r="F324" s="67">
        <v>7201.6351199999999</v>
      </c>
      <c r="G324" s="280">
        <v>5227.8888880000004</v>
      </c>
      <c r="H324" s="67">
        <v>7201.6351199999999</v>
      </c>
      <c r="I324" s="67">
        <f t="shared" si="61"/>
        <v>100</v>
      </c>
    </row>
    <row r="325" spans="1:9" s="53" customFormat="1" ht="36">
      <c r="A325" s="70" t="s">
        <v>714</v>
      </c>
      <c r="B325" s="71" t="s">
        <v>715</v>
      </c>
      <c r="C325" s="71"/>
      <c r="D325" s="71"/>
      <c r="E325" s="71"/>
      <c r="F325" s="72">
        <f t="shared" ref="F325:H327" si="62">F326</f>
        <v>99446.76</v>
      </c>
      <c r="G325" s="281">
        <f t="shared" si="62"/>
        <v>80434.343000000008</v>
      </c>
      <c r="H325" s="72">
        <f t="shared" si="62"/>
        <v>99446.76</v>
      </c>
      <c r="I325" s="72">
        <f t="shared" si="61"/>
        <v>100</v>
      </c>
    </row>
    <row r="326" spans="1:9" s="53" customFormat="1" ht="12">
      <c r="A326" s="58" t="s">
        <v>338</v>
      </c>
      <c r="B326" s="59" t="s">
        <v>715</v>
      </c>
      <c r="C326" s="59" t="s">
        <v>430</v>
      </c>
      <c r="D326" s="59"/>
      <c r="E326" s="59"/>
      <c r="F326" s="60">
        <f t="shared" si="62"/>
        <v>99446.76</v>
      </c>
      <c r="G326" s="282">
        <f t="shared" si="62"/>
        <v>80434.343000000008</v>
      </c>
      <c r="H326" s="60">
        <f t="shared" si="62"/>
        <v>99446.76</v>
      </c>
      <c r="I326" s="60">
        <f t="shared" si="61"/>
        <v>100</v>
      </c>
    </row>
    <row r="327" spans="1:9" s="53" customFormat="1" ht="12">
      <c r="A327" s="58" t="s">
        <v>340</v>
      </c>
      <c r="B327" s="59" t="s">
        <v>715</v>
      </c>
      <c r="C327" s="59" t="s">
        <v>430</v>
      </c>
      <c r="D327" s="59" t="s">
        <v>431</v>
      </c>
      <c r="E327" s="59"/>
      <c r="F327" s="60">
        <f t="shared" si="62"/>
        <v>99446.76</v>
      </c>
      <c r="G327" s="282">
        <f t="shared" si="62"/>
        <v>80434.343000000008</v>
      </c>
      <c r="H327" s="60">
        <f t="shared" si="62"/>
        <v>99446.76</v>
      </c>
      <c r="I327" s="60">
        <f t="shared" si="61"/>
        <v>100</v>
      </c>
    </row>
    <row r="328" spans="1:9" s="53" customFormat="1" ht="24">
      <c r="A328" s="65" t="s">
        <v>94</v>
      </c>
      <c r="B328" s="66" t="s">
        <v>715</v>
      </c>
      <c r="C328" s="66" t="s">
        <v>430</v>
      </c>
      <c r="D328" s="66" t="s">
        <v>431</v>
      </c>
      <c r="E328" s="66" t="s">
        <v>362</v>
      </c>
      <c r="F328" s="67">
        <f>F329+F330</f>
        <v>99446.76</v>
      </c>
      <c r="G328" s="280">
        <f>G329+G330</f>
        <v>80434.343000000008</v>
      </c>
      <c r="H328" s="67">
        <f>H329+H330</f>
        <v>99446.76</v>
      </c>
      <c r="I328" s="67">
        <f t="shared" si="61"/>
        <v>100</v>
      </c>
    </row>
    <row r="329" spans="1:9" s="53" customFormat="1" ht="12">
      <c r="A329" s="65" t="s">
        <v>95</v>
      </c>
      <c r="B329" s="66" t="s">
        <v>715</v>
      </c>
      <c r="C329" s="66" t="s">
        <v>430</v>
      </c>
      <c r="D329" s="66" t="s">
        <v>431</v>
      </c>
      <c r="E329" s="66" t="s">
        <v>371</v>
      </c>
      <c r="F329" s="67">
        <v>95596.76</v>
      </c>
      <c r="G329" s="280">
        <v>77284.668000000005</v>
      </c>
      <c r="H329" s="67">
        <v>95596.76</v>
      </c>
      <c r="I329" s="67">
        <f t="shared" si="61"/>
        <v>100</v>
      </c>
    </row>
    <row r="330" spans="1:9" s="53" customFormat="1" ht="12">
      <c r="A330" s="65" t="s">
        <v>447</v>
      </c>
      <c r="B330" s="66" t="s">
        <v>715</v>
      </c>
      <c r="C330" s="66" t="s">
        <v>430</v>
      </c>
      <c r="D330" s="66" t="s">
        <v>431</v>
      </c>
      <c r="E330" s="66" t="s">
        <v>448</v>
      </c>
      <c r="F330" s="67">
        <v>3850</v>
      </c>
      <c r="G330" s="280">
        <v>3149.6750000000002</v>
      </c>
      <c r="H330" s="67">
        <v>3850</v>
      </c>
      <c r="I330" s="67">
        <f t="shared" si="61"/>
        <v>100</v>
      </c>
    </row>
    <row r="331" spans="1:9" s="53" customFormat="1" ht="36">
      <c r="A331" s="70" t="s">
        <v>716</v>
      </c>
      <c r="B331" s="71" t="s">
        <v>717</v>
      </c>
      <c r="C331" s="71"/>
      <c r="D331" s="71"/>
      <c r="E331" s="71"/>
      <c r="F331" s="72">
        <f t="shared" ref="F331:H333" si="63">F332</f>
        <v>170477.85149999999</v>
      </c>
      <c r="G331" s="281">
        <f t="shared" si="63"/>
        <v>86786.376000000004</v>
      </c>
      <c r="H331" s="72">
        <f t="shared" si="63"/>
        <v>170477.85149999999</v>
      </c>
      <c r="I331" s="72">
        <f t="shared" si="61"/>
        <v>100</v>
      </c>
    </row>
    <row r="332" spans="1:9" s="53" customFormat="1" ht="12">
      <c r="A332" s="58" t="s">
        <v>338</v>
      </c>
      <c r="B332" s="59" t="s">
        <v>717</v>
      </c>
      <c r="C332" s="59" t="s">
        <v>430</v>
      </c>
      <c r="D332" s="59"/>
      <c r="E332" s="59"/>
      <c r="F332" s="60">
        <f t="shared" si="63"/>
        <v>170477.85149999999</v>
      </c>
      <c r="G332" s="282">
        <f t="shared" si="63"/>
        <v>86786.376000000004</v>
      </c>
      <c r="H332" s="60">
        <f t="shared" si="63"/>
        <v>170477.85149999999</v>
      </c>
      <c r="I332" s="60">
        <f t="shared" si="61"/>
        <v>100</v>
      </c>
    </row>
    <row r="333" spans="1:9" s="53" customFormat="1" ht="12">
      <c r="A333" s="58" t="s">
        <v>340</v>
      </c>
      <c r="B333" s="59" t="s">
        <v>717</v>
      </c>
      <c r="C333" s="59" t="s">
        <v>430</v>
      </c>
      <c r="D333" s="59" t="s">
        <v>431</v>
      </c>
      <c r="E333" s="59"/>
      <c r="F333" s="60">
        <f t="shared" si="63"/>
        <v>170477.85149999999</v>
      </c>
      <c r="G333" s="282">
        <f t="shared" si="63"/>
        <v>86786.376000000004</v>
      </c>
      <c r="H333" s="60">
        <f t="shared" si="63"/>
        <v>170477.85149999999</v>
      </c>
      <c r="I333" s="60">
        <f t="shared" si="61"/>
        <v>100</v>
      </c>
    </row>
    <row r="334" spans="1:9" s="53" customFormat="1" ht="24">
      <c r="A334" s="65" t="s">
        <v>94</v>
      </c>
      <c r="B334" s="66" t="s">
        <v>717</v>
      </c>
      <c r="C334" s="66" t="s">
        <v>430</v>
      </c>
      <c r="D334" s="66" t="s">
        <v>431</v>
      </c>
      <c r="E334" s="66" t="s">
        <v>362</v>
      </c>
      <c r="F334" s="67">
        <f>F335+F336</f>
        <v>170477.85149999999</v>
      </c>
      <c r="G334" s="280">
        <f>G335+G336</f>
        <v>86786.376000000004</v>
      </c>
      <c r="H334" s="67">
        <f>H335+H336</f>
        <v>170477.85149999999</v>
      </c>
      <c r="I334" s="67">
        <f t="shared" si="61"/>
        <v>100</v>
      </c>
    </row>
    <row r="335" spans="1:9" s="53" customFormat="1" ht="12">
      <c r="A335" s="65" t="s">
        <v>95</v>
      </c>
      <c r="B335" s="66" t="s">
        <v>717</v>
      </c>
      <c r="C335" s="66" t="s">
        <v>430</v>
      </c>
      <c r="D335" s="66" t="s">
        <v>431</v>
      </c>
      <c r="E335" s="66" t="s">
        <v>371</v>
      </c>
      <c r="F335" s="67">
        <f>170477.8515-F336</f>
        <v>162904.05549999999</v>
      </c>
      <c r="G335" s="280">
        <v>82791.885999999999</v>
      </c>
      <c r="H335" s="67">
        <f>170477.8515-H336</f>
        <v>162904.05549999999</v>
      </c>
      <c r="I335" s="67">
        <f t="shared" si="61"/>
        <v>100</v>
      </c>
    </row>
    <row r="336" spans="1:9" s="53" customFormat="1" ht="12">
      <c r="A336" s="65" t="s">
        <v>447</v>
      </c>
      <c r="B336" s="66" t="s">
        <v>717</v>
      </c>
      <c r="C336" s="66" t="s">
        <v>430</v>
      </c>
      <c r="D336" s="66" t="s">
        <v>431</v>
      </c>
      <c r="E336" s="66" t="s">
        <v>448</v>
      </c>
      <c r="F336" s="67">
        <v>7573.7960000000003</v>
      </c>
      <c r="G336" s="280">
        <v>3994.49</v>
      </c>
      <c r="H336" s="67">
        <v>7573.7960000000003</v>
      </c>
      <c r="I336" s="67">
        <f t="shared" si="61"/>
        <v>100</v>
      </c>
    </row>
    <row r="337" spans="1:9" s="53" customFormat="1" ht="36">
      <c r="A337" s="197" t="s">
        <v>740</v>
      </c>
      <c r="B337" s="198" t="s">
        <v>741</v>
      </c>
      <c r="C337" s="198"/>
      <c r="D337" s="198"/>
      <c r="E337" s="199"/>
      <c r="F337" s="200">
        <f t="shared" ref="F337:H339" si="64">F338</f>
        <v>8203.5589999999993</v>
      </c>
      <c r="G337" s="310">
        <f t="shared" si="64"/>
        <v>0</v>
      </c>
      <c r="H337" s="200">
        <f t="shared" si="64"/>
        <v>8203.5589999999993</v>
      </c>
      <c r="I337" s="72">
        <f t="shared" si="61"/>
        <v>100</v>
      </c>
    </row>
    <row r="338" spans="1:9" s="53" customFormat="1" ht="12">
      <c r="A338" s="203" t="s">
        <v>338</v>
      </c>
      <c r="B338" s="204" t="s">
        <v>741</v>
      </c>
      <c r="C338" s="204" t="s">
        <v>430</v>
      </c>
      <c r="D338" s="204"/>
      <c r="E338" s="199"/>
      <c r="F338" s="205">
        <f t="shared" si="64"/>
        <v>8203.5589999999993</v>
      </c>
      <c r="G338" s="309">
        <f t="shared" si="64"/>
        <v>0</v>
      </c>
      <c r="H338" s="205">
        <f t="shared" si="64"/>
        <v>8203.5589999999993</v>
      </c>
      <c r="I338" s="60">
        <f t="shared" si="61"/>
        <v>100</v>
      </c>
    </row>
    <row r="339" spans="1:9" s="53" customFormat="1" ht="12">
      <c r="A339" s="203" t="s">
        <v>340</v>
      </c>
      <c r="B339" s="204" t="s">
        <v>741</v>
      </c>
      <c r="C339" s="204" t="s">
        <v>430</v>
      </c>
      <c r="D339" s="204" t="s">
        <v>431</v>
      </c>
      <c r="E339" s="199"/>
      <c r="F339" s="205">
        <f t="shared" si="64"/>
        <v>8203.5589999999993</v>
      </c>
      <c r="G339" s="309">
        <f t="shared" si="64"/>
        <v>0</v>
      </c>
      <c r="H339" s="205">
        <f t="shared" si="64"/>
        <v>8203.5589999999993</v>
      </c>
      <c r="I339" s="60">
        <f t="shared" si="61"/>
        <v>100</v>
      </c>
    </row>
    <row r="340" spans="1:9" s="53" customFormat="1" ht="24">
      <c r="A340" s="201" t="s">
        <v>94</v>
      </c>
      <c r="B340" s="199" t="s">
        <v>741</v>
      </c>
      <c r="C340" s="199" t="s">
        <v>430</v>
      </c>
      <c r="D340" s="199" t="s">
        <v>431</v>
      </c>
      <c r="E340" s="199" t="s">
        <v>362</v>
      </c>
      <c r="F340" s="202">
        <f>F341+F342</f>
        <v>8203.5589999999993</v>
      </c>
      <c r="G340" s="308">
        <f>G341+G342</f>
        <v>0</v>
      </c>
      <c r="H340" s="202">
        <f>H341+H342</f>
        <v>8203.5589999999993</v>
      </c>
      <c r="I340" s="67">
        <f t="shared" si="61"/>
        <v>100</v>
      </c>
    </row>
    <row r="341" spans="1:9" s="53" customFormat="1" ht="12">
      <c r="A341" s="201" t="s">
        <v>95</v>
      </c>
      <c r="B341" s="199" t="s">
        <v>741</v>
      </c>
      <c r="C341" s="199" t="s">
        <v>430</v>
      </c>
      <c r="D341" s="199" t="s">
        <v>431</v>
      </c>
      <c r="E341" s="199" t="s">
        <v>371</v>
      </c>
      <c r="F341" s="202">
        <v>7000</v>
      </c>
      <c r="G341" s="308">
        <v>0</v>
      </c>
      <c r="H341" s="202">
        <v>7000</v>
      </c>
      <c r="I341" s="67">
        <f t="shared" si="61"/>
        <v>100</v>
      </c>
    </row>
    <row r="342" spans="1:9" s="53" customFormat="1" ht="12">
      <c r="A342" s="201" t="s">
        <v>447</v>
      </c>
      <c r="B342" s="199" t="s">
        <v>741</v>
      </c>
      <c r="C342" s="199" t="s">
        <v>430</v>
      </c>
      <c r="D342" s="199" t="s">
        <v>431</v>
      </c>
      <c r="E342" s="199" t="s">
        <v>448</v>
      </c>
      <c r="F342" s="202">
        <v>1203.559</v>
      </c>
      <c r="G342" s="308">
        <v>0</v>
      </c>
      <c r="H342" s="202">
        <v>1203.559</v>
      </c>
      <c r="I342" s="67">
        <f t="shared" si="61"/>
        <v>100</v>
      </c>
    </row>
    <row r="343" spans="1:9" s="53" customFormat="1" ht="12">
      <c r="A343" s="58" t="s">
        <v>400</v>
      </c>
      <c r="B343" s="59" t="s">
        <v>147</v>
      </c>
      <c r="C343" s="59"/>
      <c r="D343" s="59"/>
      <c r="E343" s="59"/>
      <c r="F343" s="60">
        <f>F344+F354+F361</f>
        <v>6020</v>
      </c>
      <c r="G343" s="60">
        <f>G344+G354+G361</f>
        <v>4003.1688300000001</v>
      </c>
      <c r="H343" s="60">
        <f>H344+H354+H361</f>
        <v>6020</v>
      </c>
      <c r="I343" s="60">
        <f t="shared" si="61"/>
        <v>100</v>
      </c>
    </row>
    <row r="344" spans="1:9" s="53" customFormat="1" ht="24">
      <c r="A344" s="85" t="s">
        <v>150</v>
      </c>
      <c r="B344" s="59" t="s">
        <v>122</v>
      </c>
      <c r="C344" s="59"/>
      <c r="D344" s="59"/>
      <c r="E344" s="71"/>
      <c r="F344" s="158">
        <f t="shared" ref="F344:H346" si="65">F345</f>
        <v>4035</v>
      </c>
      <c r="G344" s="158">
        <f t="shared" si="65"/>
        <v>3353.8201300000001</v>
      </c>
      <c r="H344" s="158">
        <f t="shared" si="65"/>
        <v>4035</v>
      </c>
      <c r="I344" s="60">
        <f t="shared" si="61"/>
        <v>100</v>
      </c>
    </row>
    <row r="345" spans="1:9" s="53" customFormat="1" ht="12">
      <c r="A345" s="70" t="s">
        <v>338</v>
      </c>
      <c r="B345" s="59" t="s">
        <v>665</v>
      </c>
      <c r="C345" s="59" t="s">
        <v>430</v>
      </c>
      <c r="D345" s="59"/>
      <c r="E345" s="71"/>
      <c r="F345" s="158">
        <f t="shared" si="65"/>
        <v>4035</v>
      </c>
      <c r="G345" s="158">
        <f t="shared" si="65"/>
        <v>3353.8201300000001</v>
      </c>
      <c r="H345" s="158">
        <f t="shared" si="65"/>
        <v>4035</v>
      </c>
      <c r="I345" s="60">
        <f t="shared" si="61"/>
        <v>100</v>
      </c>
    </row>
    <row r="346" spans="1:9" s="53" customFormat="1" ht="12">
      <c r="A346" s="70" t="s">
        <v>703</v>
      </c>
      <c r="B346" s="59" t="s">
        <v>665</v>
      </c>
      <c r="C346" s="71" t="s">
        <v>430</v>
      </c>
      <c r="D346" s="71" t="s">
        <v>424</v>
      </c>
      <c r="E346" s="71"/>
      <c r="F346" s="158">
        <f t="shared" si="65"/>
        <v>4035</v>
      </c>
      <c r="G346" s="158">
        <f t="shared" si="65"/>
        <v>3353.8201300000001</v>
      </c>
      <c r="H346" s="158">
        <f t="shared" si="65"/>
        <v>4035</v>
      </c>
      <c r="I346" s="60">
        <f t="shared" si="61"/>
        <v>100</v>
      </c>
    </row>
    <row r="347" spans="1:9" s="53" customFormat="1" ht="12">
      <c r="A347" s="87" t="s">
        <v>425</v>
      </c>
      <c r="B347" s="83" t="s">
        <v>665</v>
      </c>
      <c r="C347" s="83" t="s">
        <v>430</v>
      </c>
      <c r="D347" s="83" t="s">
        <v>424</v>
      </c>
      <c r="E347" s="83"/>
      <c r="F347" s="178">
        <f>F348+F350+F352</f>
        <v>4035</v>
      </c>
      <c r="G347" s="178">
        <f>G348+G350+G352</f>
        <v>3353.8201300000001</v>
      </c>
      <c r="H347" s="178">
        <f>H348+H350+H352</f>
        <v>4035</v>
      </c>
      <c r="I347" s="88">
        <f t="shared" si="61"/>
        <v>100</v>
      </c>
    </row>
    <row r="348" spans="1:9" s="53" customFormat="1" ht="36">
      <c r="A348" s="65" t="s">
        <v>72</v>
      </c>
      <c r="B348" s="66" t="s">
        <v>665</v>
      </c>
      <c r="C348" s="66" t="s">
        <v>430</v>
      </c>
      <c r="D348" s="66" t="s">
        <v>424</v>
      </c>
      <c r="E348" s="66" t="s">
        <v>73</v>
      </c>
      <c r="F348" s="156">
        <f>F349</f>
        <v>3930</v>
      </c>
      <c r="G348" s="156">
        <f>G349</f>
        <v>3312.0881300000001</v>
      </c>
      <c r="H348" s="156">
        <f>H349</f>
        <v>3930</v>
      </c>
      <c r="I348" s="67">
        <f t="shared" si="61"/>
        <v>100</v>
      </c>
    </row>
    <row r="349" spans="1:9" s="53" customFormat="1" ht="12">
      <c r="A349" s="65" t="s">
        <v>426</v>
      </c>
      <c r="B349" s="66" t="s">
        <v>665</v>
      </c>
      <c r="C349" s="66" t="s">
        <v>430</v>
      </c>
      <c r="D349" s="66" t="s">
        <v>424</v>
      </c>
      <c r="E349" s="66" t="s">
        <v>427</v>
      </c>
      <c r="F349" s="156">
        <v>3930</v>
      </c>
      <c r="G349" s="286">
        <v>3312.0881300000001</v>
      </c>
      <c r="H349" s="156">
        <v>3930</v>
      </c>
      <c r="I349" s="67">
        <f t="shared" si="61"/>
        <v>100</v>
      </c>
    </row>
    <row r="350" spans="1:9" s="53" customFormat="1" ht="24">
      <c r="A350" s="65" t="s">
        <v>486</v>
      </c>
      <c r="B350" s="66" t="s">
        <v>665</v>
      </c>
      <c r="C350" s="66" t="s">
        <v>430</v>
      </c>
      <c r="D350" s="66" t="s">
        <v>424</v>
      </c>
      <c r="E350" s="66" t="s">
        <v>77</v>
      </c>
      <c r="F350" s="156">
        <f>F351</f>
        <v>100</v>
      </c>
      <c r="G350" s="156">
        <f>G351</f>
        <v>41.731999999999999</v>
      </c>
      <c r="H350" s="156">
        <f>H351</f>
        <v>100</v>
      </c>
      <c r="I350" s="67">
        <f t="shared" si="61"/>
        <v>100</v>
      </c>
    </row>
    <row r="351" spans="1:9" s="53" customFormat="1" ht="24">
      <c r="A351" s="65" t="s">
        <v>78</v>
      </c>
      <c r="B351" s="66" t="s">
        <v>665</v>
      </c>
      <c r="C351" s="66" t="s">
        <v>430</v>
      </c>
      <c r="D351" s="66" t="s">
        <v>424</v>
      </c>
      <c r="E351" s="66" t="s">
        <v>79</v>
      </c>
      <c r="F351" s="156">
        <v>100</v>
      </c>
      <c r="G351" s="286">
        <v>41.731999999999999</v>
      </c>
      <c r="H351" s="156">
        <v>100</v>
      </c>
      <c r="I351" s="67">
        <f t="shared" si="61"/>
        <v>100</v>
      </c>
    </row>
    <row r="352" spans="1:9" s="53" customFormat="1" ht="12">
      <c r="A352" s="65" t="s">
        <v>80</v>
      </c>
      <c r="B352" s="66" t="s">
        <v>665</v>
      </c>
      <c r="C352" s="66" t="s">
        <v>430</v>
      </c>
      <c r="D352" s="66" t="s">
        <v>424</v>
      </c>
      <c r="E352" s="66" t="s">
        <v>81</v>
      </c>
      <c r="F352" s="177">
        <f>F353</f>
        <v>5</v>
      </c>
      <c r="G352" s="307">
        <f>G353</f>
        <v>0</v>
      </c>
      <c r="H352" s="177">
        <f>H353</f>
        <v>5</v>
      </c>
      <c r="I352" s="67">
        <f t="shared" si="61"/>
        <v>100</v>
      </c>
    </row>
    <row r="353" spans="1:9" s="53" customFormat="1" ht="12">
      <c r="A353" s="65" t="s">
        <v>445</v>
      </c>
      <c r="B353" s="66" t="s">
        <v>665</v>
      </c>
      <c r="C353" s="66" t="s">
        <v>430</v>
      </c>
      <c r="D353" s="66" t="s">
        <v>424</v>
      </c>
      <c r="E353" s="66" t="s">
        <v>82</v>
      </c>
      <c r="F353" s="177">
        <v>5</v>
      </c>
      <c r="G353" s="306">
        <v>0</v>
      </c>
      <c r="H353" s="177">
        <v>5</v>
      </c>
      <c r="I353" s="67">
        <f t="shared" si="61"/>
        <v>100</v>
      </c>
    </row>
    <row r="354" spans="1:9" s="53" customFormat="1" ht="36">
      <c r="A354" s="74" t="s">
        <v>258</v>
      </c>
      <c r="B354" s="71" t="s">
        <v>666</v>
      </c>
      <c r="C354" s="71"/>
      <c r="D354" s="71"/>
      <c r="E354" s="71"/>
      <c r="F354" s="175">
        <f t="shared" ref="F354:H355" si="66">F355</f>
        <v>1135</v>
      </c>
      <c r="G354" s="304">
        <f t="shared" si="66"/>
        <v>359.21769999999998</v>
      </c>
      <c r="H354" s="175">
        <f t="shared" si="66"/>
        <v>1135</v>
      </c>
      <c r="I354" s="72">
        <f t="shared" si="61"/>
        <v>100</v>
      </c>
    </row>
    <row r="355" spans="1:9" s="53" customFormat="1" ht="12">
      <c r="A355" s="58" t="s">
        <v>338</v>
      </c>
      <c r="B355" s="59" t="s">
        <v>666</v>
      </c>
      <c r="C355" s="59" t="s">
        <v>430</v>
      </c>
      <c r="D355" s="59"/>
      <c r="E355" s="59"/>
      <c r="F355" s="158">
        <f t="shared" si="66"/>
        <v>1135</v>
      </c>
      <c r="G355" s="305">
        <f t="shared" si="66"/>
        <v>359.21769999999998</v>
      </c>
      <c r="H355" s="158">
        <f t="shared" si="66"/>
        <v>1135</v>
      </c>
      <c r="I355" s="60">
        <f t="shared" si="61"/>
        <v>100</v>
      </c>
    </row>
    <row r="356" spans="1:9" s="53" customFormat="1" ht="12">
      <c r="A356" s="58" t="s">
        <v>703</v>
      </c>
      <c r="B356" s="59" t="s">
        <v>666</v>
      </c>
      <c r="C356" s="59" t="s">
        <v>430</v>
      </c>
      <c r="D356" s="59" t="s">
        <v>424</v>
      </c>
      <c r="E356" s="59"/>
      <c r="F356" s="158">
        <f>F357+F359</f>
        <v>1135</v>
      </c>
      <c r="G356" s="305">
        <f>G357+G359</f>
        <v>359.21769999999998</v>
      </c>
      <c r="H356" s="158">
        <f>H357+H359</f>
        <v>1135</v>
      </c>
      <c r="I356" s="60">
        <f t="shared" si="61"/>
        <v>100</v>
      </c>
    </row>
    <row r="357" spans="1:9" s="53" customFormat="1" ht="36">
      <c r="A357" s="65" t="s">
        <v>72</v>
      </c>
      <c r="B357" s="66" t="s">
        <v>666</v>
      </c>
      <c r="C357" s="66" t="s">
        <v>430</v>
      </c>
      <c r="D357" s="66" t="s">
        <v>424</v>
      </c>
      <c r="E357" s="66" t="s">
        <v>73</v>
      </c>
      <c r="F357" s="176">
        <f>F358</f>
        <v>135</v>
      </c>
      <c r="G357" s="288">
        <f>G358</f>
        <v>56.564999999999998</v>
      </c>
      <c r="H357" s="176">
        <f>H358</f>
        <v>135</v>
      </c>
      <c r="I357" s="67">
        <f t="shared" si="61"/>
        <v>100</v>
      </c>
    </row>
    <row r="358" spans="1:9" s="53" customFormat="1" ht="12">
      <c r="A358" s="65" t="s">
        <v>426</v>
      </c>
      <c r="B358" s="66" t="s">
        <v>666</v>
      </c>
      <c r="C358" s="66" t="s">
        <v>430</v>
      </c>
      <c r="D358" s="66" t="s">
        <v>424</v>
      </c>
      <c r="E358" s="66" t="s">
        <v>427</v>
      </c>
      <c r="F358" s="176">
        <v>135</v>
      </c>
      <c r="G358" s="288">
        <v>56.564999999999998</v>
      </c>
      <c r="H358" s="176">
        <v>135</v>
      </c>
      <c r="I358" s="67">
        <f t="shared" si="61"/>
        <v>100</v>
      </c>
    </row>
    <row r="359" spans="1:9" s="53" customFormat="1" ht="24">
      <c r="A359" s="65" t="s">
        <v>486</v>
      </c>
      <c r="B359" s="66" t="s">
        <v>666</v>
      </c>
      <c r="C359" s="66" t="s">
        <v>430</v>
      </c>
      <c r="D359" s="66" t="s">
        <v>424</v>
      </c>
      <c r="E359" s="66" t="s">
        <v>77</v>
      </c>
      <c r="F359" s="156">
        <f>F360</f>
        <v>1000</v>
      </c>
      <c r="G359" s="286">
        <f>G360</f>
        <v>302.65269999999998</v>
      </c>
      <c r="H359" s="156">
        <f>H360</f>
        <v>1000</v>
      </c>
      <c r="I359" s="67">
        <f t="shared" si="61"/>
        <v>100</v>
      </c>
    </row>
    <row r="360" spans="1:9" s="53" customFormat="1" ht="24">
      <c r="A360" s="65" t="s">
        <v>78</v>
      </c>
      <c r="B360" s="66" t="s">
        <v>666</v>
      </c>
      <c r="C360" s="66" t="s">
        <v>430</v>
      </c>
      <c r="D360" s="66" t="s">
        <v>424</v>
      </c>
      <c r="E360" s="66" t="s">
        <v>79</v>
      </c>
      <c r="F360" s="156">
        <v>1000</v>
      </c>
      <c r="G360" s="286">
        <v>302.65269999999998</v>
      </c>
      <c r="H360" s="156">
        <v>1000</v>
      </c>
      <c r="I360" s="67">
        <f t="shared" si="61"/>
        <v>100</v>
      </c>
    </row>
    <row r="361" spans="1:9" s="53" customFormat="1" ht="48">
      <c r="A361" s="74" t="s">
        <v>399</v>
      </c>
      <c r="B361" s="71" t="s">
        <v>667</v>
      </c>
      <c r="C361" s="71"/>
      <c r="D361" s="71"/>
      <c r="E361" s="71"/>
      <c r="F361" s="175">
        <f t="shared" ref="F361:H362" si="67">F362</f>
        <v>850</v>
      </c>
      <c r="G361" s="304">
        <f t="shared" si="67"/>
        <v>290.13100000000003</v>
      </c>
      <c r="H361" s="175">
        <f t="shared" si="67"/>
        <v>850</v>
      </c>
      <c r="I361" s="72">
        <f t="shared" si="61"/>
        <v>100</v>
      </c>
    </row>
    <row r="362" spans="1:9" s="53" customFormat="1" ht="12">
      <c r="A362" s="58" t="s">
        <v>338</v>
      </c>
      <c r="B362" s="59" t="s">
        <v>667</v>
      </c>
      <c r="C362" s="59" t="s">
        <v>430</v>
      </c>
      <c r="D362" s="59"/>
      <c r="E362" s="59"/>
      <c r="F362" s="60">
        <f t="shared" si="67"/>
        <v>850</v>
      </c>
      <c r="G362" s="282">
        <f t="shared" si="67"/>
        <v>290.13100000000003</v>
      </c>
      <c r="H362" s="60">
        <f t="shared" si="67"/>
        <v>850</v>
      </c>
      <c r="I362" s="60">
        <f t="shared" si="61"/>
        <v>100</v>
      </c>
    </row>
    <row r="363" spans="1:9" s="53" customFormat="1" ht="12">
      <c r="A363" s="58" t="s">
        <v>703</v>
      </c>
      <c r="B363" s="59" t="s">
        <v>667</v>
      </c>
      <c r="C363" s="59" t="s">
        <v>430</v>
      </c>
      <c r="D363" s="59" t="s">
        <v>424</v>
      </c>
      <c r="E363" s="59"/>
      <c r="F363" s="60">
        <f>F364+F366+F368</f>
        <v>850</v>
      </c>
      <c r="G363" s="282">
        <f>G364+G366+G368</f>
        <v>290.13100000000003</v>
      </c>
      <c r="H363" s="60">
        <f>H364+H366+H368</f>
        <v>850</v>
      </c>
      <c r="I363" s="60">
        <f t="shared" si="61"/>
        <v>100</v>
      </c>
    </row>
    <row r="364" spans="1:9" s="53" customFormat="1" ht="36">
      <c r="A364" s="65" t="s">
        <v>72</v>
      </c>
      <c r="B364" s="66" t="s">
        <v>667</v>
      </c>
      <c r="C364" s="66" t="s">
        <v>430</v>
      </c>
      <c r="D364" s="66" t="s">
        <v>424</v>
      </c>
      <c r="E364" s="66" t="s">
        <v>73</v>
      </c>
      <c r="F364" s="79">
        <f>F365</f>
        <v>50</v>
      </c>
      <c r="G364" s="272">
        <f>G365</f>
        <v>29.196000000000002</v>
      </c>
      <c r="H364" s="79">
        <f>H365</f>
        <v>50</v>
      </c>
      <c r="I364" s="67">
        <f t="shared" si="61"/>
        <v>100</v>
      </c>
    </row>
    <row r="365" spans="1:9" s="53" customFormat="1" ht="12">
      <c r="A365" s="65" t="s">
        <v>426</v>
      </c>
      <c r="B365" s="66" t="s">
        <v>667</v>
      </c>
      <c r="C365" s="66" t="s">
        <v>430</v>
      </c>
      <c r="D365" s="66" t="s">
        <v>424</v>
      </c>
      <c r="E365" s="66" t="s">
        <v>427</v>
      </c>
      <c r="F365" s="79">
        <v>50</v>
      </c>
      <c r="G365" s="272">
        <v>29.196000000000002</v>
      </c>
      <c r="H365" s="79">
        <v>50</v>
      </c>
      <c r="I365" s="67">
        <f t="shared" si="61"/>
        <v>100</v>
      </c>
    </row>
    <row r="366" spans="1:9" s="53" customFormat="1" ht="24">
      <c r="A366" s="65" t="s">
        <v>486</v>
      </c>
      <c r="B366" s="66" t="s">
        <v>667</v>
      </c>
      <c r="C366" s="66" t="s">
        <v>430</v>
      </c>
      <c r="D366" s="66" t="s">
        <v>424</v>
      </c>
      <c r="E366" s="66" t="s">
        <v>77</v>
      </c>
      <c r="F366" s="67">
        <f>F367</f>
        <v>650</v>
      </c>
      <c r="G366" s="280">
        <f>G367</f>
        <v>190.70500000000001</v>
      </c>
      <c r="H366" s="67">
        <f>H367</f>
        <v>650</v>
      </c>
      <c r="I366" s="67">
        <f t="shared" si="61"/>
        <v>100</v>
      </c>
    </row>
    <row r="367" spans="1:9" s="53" customFormat="1" ht="24">
      <c r="A367" s="65" t="s">
        <v>78</v>
      </c>
      <c r="B367" s="66" t="s">
        <v>667</v>
      </c>
      <c r="C367" s="66" t="s">
        <v>430</v>
      </c>
      <c r="D367" s="66" t="s">
        <v>424</v>
      </c>
      <c r="E367" s="66" t="s">
        <v>79</v>
      </c>
      <c r="F367" s="67">
        <f>150+500</f>
        <v>650</v>
      </c>
      <c r="G367" s="280">
        <v>190.70500000000001</v>
      </c>
      <c r="H367" s="67">
        <v>650</v>
      </c>
      <c r="I367" s="67">
        <f t="shared" si="61"/>
        <v>100</v>
      </c>
    </row>
    <row r="368" spans="1:9" s="53" customFormat="1" ht="12">
      <c r="A368" s="65" t="s">
        <v>88</v>
      </c>
      <c r="B368" s="66" t="s">
        <v>667</v>
      </c>
      <c r="C368" s="66" t="s">
        <v>430</v>
      </c>
      <c r="D368" s="66" t="s">
        <v>424</v>
      </c>
      <c r="E368" s="66" t="s">
        <v>87</v>
      </c>
      <c r="F368" s="67">
        <f>F369</f>
        <v>150</v>
      </c>
      <c r="G368" s="280">
        <f>G369</f>
        <v>70.23</v>
      </c>
      <c r="H368" s="67">
        <f>H369</f>
        <v>150</v>
      </c>
      <c r="I368" s="67">
        <f t="shared" si="61"/>
        <v>100</v>
      </c>
    </row>
    <row r="369" spans="1:9" s="53" customFormat="1" ht="12">
      <c r="A369" s="65" t="s">
        <v>504</v>
      </c>
      <c r="B369" s="66" t="s">
        <v>667</v>
      </c>
      <c r="C369" s="66" t="s">
        <v>430</v>
      </c>
      <c r="D369" s="66" t="s">
        <v>424</v>
      </c>
      <c r="E369" s="66" t="s">
        <v>500</v>
      </c>
      <c r="F369" s="67">
        <v>150</v>
      </c>
      <c r="G369" s="280">
        <v>70.23</v>
      </c>
      <c r="H369" s="67">
        <v>150</v>
      </c>
      <c r="I369" s="67">
        <f t="shared" si="61"/>
        <v>100</v>
      </c>
    </row>
    <row r="370" spans="1:9" s="53" customFormat="1" ht="12">
      <c r="A370" s="58" t="s">
        <v>259</v>
      </c>
      <c r="B370" s="59" t="s">
        <v>148</v>
      </c>
      <c r="C370" s="59"/>
      <c r="D370" s="59"/>
      <c r="E370" s="59"/>
      <c r="F370" s="60">
        <f>F371+F376+F382+F388</f>
        <v>43016.691999999995</v>
      </c>
      <c r="G370" s="282">
        <f>G371+G376+G382+G388</f>
        <v>32071.866139999998</v>
      </c>
      <c r="H370" s="60">
        <f>H371+H376+H382+H388</f>
        <v>43016.691999999995</v>
      </c>
      <c r="I370" s="60">
        <f t="shared" si="61"/>
        <v>100</v>
      </c>
    </row>
    <row r="371" spans="1:9" s="53" customFormat="1" ht="24">
      <c r="A371" s="85" t="s">
        <v>154</v>
      </c>
      <c r="B371" s="59" t="s">
        <v>668</v>
      </c>
      <c r="C371" s="59"/>
      <c r="D371" s="59"/>
      <c r="E371" s="59"/>
      <c r="F371" s="60">
        <f t="shared" ref="F371:H374" si="68">F372</f>
        <v>640</v>
      </c>
      <c r="G371" s="282">
        <f t="shared" si="68"/>
        <v>640</v>
      </c>
      <c r="H371" s="60">
        <f t="shared" si="68"/>
        <v>640</v>
      </c>
      <c r="I371" s="60">
        <f t="shared" si="61"/>
        <v>100</v>
      </c>
    </row>
    <row r="372" spans="1:9" s="53" customFormat="1" ht="12">
      <c r="A372" s="58" t="s">
        <v>360</v>
      </c>
      <c r="B372" s="59" t="s">
        <v>668</v>
      </c>
      <c r="C372" s="59" t="s">
        <v>446</v>
      </c>
      <c r="D372" s="59"/>
      <c r="E372" s="59"/>
      <c r="F372" s="60">
        <f t="shared" si="68"/>
        <v>640</v>
      </c>
      <c r="G372" s="282">
        <f t="shared" si="68"/>
        <v>640</v>
      </c>
      <c r="H372" s="60">
        <f t="shared" si="68"/>
        <v>640</v>
      </c>
      <c r="I372" s="60">
        <f t="shared" si="61"/>
        <v>100</v>
      </c>
    </row>
    <row r="373" spans="1:9" s="53" customFormat="1" ht="12">
      <c r="A373" s="58" t="s">
        <v>705</v>
      </c>
      <c r="B373" s="59" t="s">
        <v>668</v>
      </c>
      <c r="C373" s="59" t="s">
        <v>446</v>
      </c>
      <c r="D373" s="59" t="s">
        <v>423</v>
      </c>
      <c r="E373" s="59"/>
      <c r="F373" s="60">
        <f t="shared" si="68"/>
        <v>640</v>
      </c>
      <c r="G373" s="282">
        <f t="shared" si="68"/>
        <v>640</v>
      </c>
      <c r="H373" s="60">
        <f t="shared" si="68"/>
        <v>640</v>
      </c>
      <c r="I373" s="60">
        <f t="shared" si="61"/>
        <v>100</v>
      </c>
    </row>
    <row r="374" spans="1:9" s="53" customFormat="1" ht="12">
      <c r="A374" s="65" t="s">
        <v>88</v>
      </c>
      <c r="B374" s="66" t="s">
        <v>668</v>
      </c>
      <c r="C374" s="66" t="s">
        <v>446</v>
      </c>
      <c r="D374" s="66" t="s">
        <v>423</v>
      </c>
      <c r="E374" s="66" t="s">
        <v>87</v>
      </c>
      <c r="F374" s="67">
        <f t="shared" si="68"/>
        <v>640</v>
      </c>
      <c r="G374" s="280">
        <f t="shared" si="68"/>
        <v>640</v>
      </c>
      <c r="H374" s="67">
        <f t="shared" si="68"/>
        <v>640</v>
      </c>
      <c r="I374" s="67">
        <f t="shared" si="61"/>
        <v>100</v>
      </c>
    </row>
    <row r="375" spans="1:9" s="53" customFormat="1" ht="12">
      <c r="A375" s="65" t="s">
        <v>89</v>
      </c>
      <c r="B375" s="66" t="s">
        <v>668</v>
      </c>
      <c r="C375" s="66" t="s">
        <v>446</v>
      </c>
      <c r="D375" s="66" t="s">
        <v>423</v>
      </c>
      <c r="E375" s="66" t="s">
        <v>90</v>
      </c>
      <c r="F375" s="67">
        <v>640</v>
      </c>
      <c r="G375" s="280">
        <v>640</v>
      </c>
      <c r="H375" s="67">
        <v>640</v>
      </c>
      <c r="I375" s="67">
        <f t="shared" si="61"/>
        <v>100</v>
      </c>
    </row>
    <row r="376" spans="1:9" s="53" customFormat="1" ht="24">
      <c r="A376" s="85" t="s">
        <v>155</v>
      </c>
      <c r="B376" s="59" t="s">
        <v>661</v>
      </c>
      <c r="C376" s="66"/>
      <c r="D376" s="66"/>
      <c r="E376" s="59"/>
      <c r="F376" s="60">
        <f t="shared" ref="F376:H378" si="69">F377</f>
        <v>10953.199999999999</v>
      </c>
      <c r="G376" s="282">
        <f t="shared" si="69"/>
        <v>7070.6549999999997</v>
      </c>
      <c r="H376" s="60">
        <f t="shared" si="69"/>
        <v>10953.199999999999</v>
      </c>
      <c r="I376" s="60">
        <f t="shared" si="61"/>
        <v>100</v>
      </c>
    </row>
    <row r="377" spans="1:9" s="53" customFormat="1" ht="12">
      <c r="A377" s="58" t="s">
        <v>338</v>
      </c>
      <c r="B377" s="59" t="s">
        <v>661</v>
      </c>
      <c r="C377" s="59" t="s">
        <v>430</v>
      </c>
      <c r="D377" s="59"/>
      <c r="E377" s="59"/>
      <c r="F377" s="60">
        <f t="shared" si="69"/>
        <v>10953.199999999999</v>
      </c>
      <c r="G377" s="282">
        <f t="shared" si="69"/>
        <v>7070.6549999999997</v>
      </c>
      <c r="H377" s="60">
        <f t="shared" si="69"/>
        <v>10953.199999999999</v>
      </c>
      <c r="I377" s="60">
        <f t="shared" si="61"/>
        <v>100</v>
      </c>
    </row>
    <row r="378" spans="1:9" s="53" customFormat="1" ht="12">
      <c r="A378" s="85" t="s">
        <v>340</v>
      </c>
      <c r="B378" s="59" t="s">
        <v>661</v>
      </c>
      <c r="C378" s="59" t="s">
        <v>430</v>
      </c>
      <c r="D378" s="59" t="s">
        <v>431</v>
      </c>
      <c r="E378" s="59"/>
      <c r="F378" s="60">
        <f t="shared" si="69"/>
        <v>10953.199999999999</v>
      </c>
      <c r="G378" s="282">
        <f t="shared" si="69"/>
        <v>7070.6549999999997</v>
      </c>
      <c r="H378" s="60">
        <f t="shared" si="69"/>
        <v>10953.199999999999</v>
      </c>
      <c r="I378" s="60">
        <f t="shared" si="61"/>
        <v>100</v>
      </c>
    </row>
    <row r="379" spans="1:9" s="53" customFormat="1" ht="24">
      <c r="A379" s="65" t="s">
        <v>94</v>
      </c>
      <c r="B379" s="66" t="s">
        <v>661</v>
      </c>
      <c r="C379" s="66" t="s">
        <v>430</v>
      </c>
      <c r="D379" s="66" t="s">
        <v>431</v>
      </c>
      <c r="E379" s="66" t="s">
        <v>362</v>
      </c>
      <c r="F379" s="67">
        <f>F380+F381</f>
        <v>10953.199999999999</v>
      </c>
      <c r="G379" s="280">
        <f>G380+G381</f>
        <v>7070.6549999999997</v>
      </c>
      <c r="H379" s="67">
        <f>H380+H381</f>
        <v>10953.199999999999</v>
      </c>
      <c r="I379" s="67">
        <f t="shared" si="61"/>
        <v>100</v>
      </c>
    </row>
    <row r="380" spans="1:9" s="53" customFormat="1" ht="12">
      <c r="A380" s="65" t="s">
        <v>95</v>
      </c>
      <c r="B380" s="66" t="s">
        <v>661</v>
      </c>
      <c r="C380" s="66" t="s">
        <v>430</v>
      </c>
      <c r="D380" s="66" t="s">
        <v>431</v>
      </c>
      <c r="E380" s="66" t="s">
        <v>371</v>
      </c>
      <c r="F380" s="67">
        <v>10857.9</v>
      </c>
      <c r="G380" s="280">
        <v>6988.32</v>
      </c>
      <c r="H380" s="67">
        <v>10857.9</v>
      </c>
      <c r="I380" s="67">
        <f t="shared" si="61"/>
        <v>100</v>
      </c>
    </row>
    <row r="381" spans="1:9" s="53" customFormat="1" ht="12">
      <c r="A381" s="65" t="s">
        <v>447</v>
      </c>
      <c r="B381" s="66" t="s">
        <v>661</v>
      </c>
      <c r="C381" s="66" t="s">
        <v>430</v>
      </c>
      <c r="D381" s="66" t="s">
        <v>431</v>
      </c>
      <c r="E381" s="66" t="s">
        <v>448</v>
      </c>
      <c r="F381" s="67">
        <v>95.3</v>
      </c>
      <c r="G381" s="280">
        <v>82.334999999999994</v>
      </c>
      <c r="H381" s="67">
        <v>95.3</v>
      </c>
      <c r="I381" s="67">
        <f t="shared" si="61"/>
        <v>100</v>
      </c>
    </row>
    <row r="382" spans="1:9" s="53" customFormat="1" ht="38.25" customHeight="1">
      <c r="A382" s="70" t="s">
        <v>126</v>
      </c>
      <c r="B382" s="71" t="s">
        <v>261</v>
      </c>
      <c r="C382" s="71"/>
      <c r="D382" s="71"/>
      <c r="E382" s="71"/>
      <c r="F382" s="80">
        <f t="shared" ref="F382:H384" si="70">F383</f>
        <v>12322.192000000001</v>
      </c>
      <c r="G382" s="80">
        <f t="shared" si="70"/>
        <v>10324.583999999999</v>
      </c>
      <c r="H382" s="80">
        <f t="shared" si="70"/>
        <v>12322.192000000001</v>
      </c>
      <c r="I382" s="72">
        <f t="shared" si="61"/>
        <v>100</v>
      </c>
    </row>
    <row r="383" spans="1:9" s="53" customFormat="1">
      <c r="A383" s="58" t="s">
        <v>360</v>
      </c>
      <c r="B383" s="59" t="s">
        <v>261</v>
      </c>
      <c r="C383" s="59" t="s">
        <v>446</v>
      </c>
      <c r="D383" s="301"/>
      <c r="E383" s="59"/>
      <c r="F383" s="78">
        <f t="shared" si="70"/>
        <v>12322.192000000001</v>
      </c>
      <c r="G383" s="78">
        <f t="shared" si="70"/>
        <v>10324.583999999999</v>
      </c>
      <c r="H383" s="78">
        <f t="shared" si="70"/>
        <v>12322.192000000001</v>
      </c>
      <c r="I383" s="60">
        <f t="shared" ref="I383:I446" si="71">H383/F383*100</f>
        <v>100</v>
      </c>
    </row>
    <row r="384" spans="1:9" s="53" customFormat="1" ht="12">
      <c r="A384" s="58" t="s">
        <v>705</v>
      </c>
      <c r="B384" s="59" t="s">
        <v>261</v>
      </c>
      <c r="C384" s="59" t="s">
        <v>446</v>
      </c>
      <c r="D384" s="59" t="s">
        <v>423</v>
      </c>
      <c r="E384" s="59"/>
      <c r="F384" s="78">
        <f t="shared" si="70"/>
        <v>12322.192000000001</v>
      </c>
      <c r="G384" s="78">
        <f t="shared" si="70"/>
        <v>10324.583999999999</v>
      </c>
      <c r="H384" s="78">
        <f t="shared" si="70"/>
        <v>12322.192000000001</v>
      </c>
      <c r="I384" s="60">
        <f t="shared" si="71"/>
        <v>100</v>
      </c>
    </row>
    <row r="385" spans="1:9" s="53" customFormat="1" ht="24">
      <c r="A385" s="65" t="s">
        <v>94</v>
      </c>
      <c r="B385" s="66" t="s">
        <v>261</v>
      </c>
      <c r="C385" s="66" t="s">
        <v>446</v>
      </c>
      <c r="D385" s="66" t="s">
        <v>423</v>
      </c>
      <c r="E385" s="66" t="s">
        <v>362</v>
      </c>
      <c r="F385" s="79">
        <f>F386+F387</f>
        <v>12322.192000000001</v>
      </c>
      <c r="G385" s="79">
        <f>G386+G387</f>
        <v>10324.583999999999</v>
      </c>
      <c r="H385" s="79">
        <f>H386+H387</f>
        <v>12322.192000000001</v>
      </c>
      <c r="I385" s="67">
        <f t="shared" si="71"/>
        <v>100</v>
      </c>
    </row>
    <row r="386" spans="1:9" s="53" customFormat="1" ht="12">
      <c r="A386" s="65" t="s">
        <v>95</v>
      </c>
      <c r="B386" s="66" t="s">
        <v>261</v>
      </c>
      <c r="C386" s="66" t="s">
        <v>446</v>
      </c>
      <c r="D386" s="66" t="s">
        <v>423</v>
      </c>
      <c r="E386" s="66" t="s">
        <v>371</v>
      </c>
      <c r="F386" s="79">
        <f>5139.7-0.044+6625.256</f>
        <v>11764.912</v>
      </c>
      <c r="G386" s="272">
        <v>9858.0239999999994</v>
      </c>
      <c r="H386" s="79">
        <f>5139.7-0.044+6625.256</f>
        <v>11764.912</v>
      </c>
      <c r="I386" s="67">
        <f t="shared" si="71"/>
        <v>100</v>
      </c>
    </row>
    <row r="387" spans="1:9" s="53" customFormat="1" ht="12">
      <c r="A387" s="65" t="s">
        <v>447</v>
      </c>
      <c r="B387" s="66" t="s">
        <v>261</v>
      </c>
      <c r="C387" s="66" t="s">
        <v>446</v>
      </c>
      <c r="D387" s="66" t="s">
        <v>423</v>
      </c>
      <c r="E387" s="66" t="s">
        <v>448</v>
      </c>
      <c r="F387" s="79">
        <v>557.28</v>
      </c>
      <c r="G387" s="272">
        <v>466.56</v>
      </c>
      <c r="H387" s="79">
        <v>557.28</v>
      </c>
      <c r="I387" s="67">
        <f t="shared" si="71"/>
        <v>100</v>
      </c>
    </row>
    <row r="388" spans="1:9" s="52" customFormat="1" ht="48">
      <c r="A388" s="84" t="s">
        <v>739</v>
      </c>
      <c r="B388" s="71" t="s">
        <v>260</v>
      </c>
      <c r="C388" s="71"/>
      <c r="D388" s="71"/>
      <c r="E388" s="71"/>
      <c r="F388" s="80">
        <f t="shared" ref="F388:H391" si="72">F389</f>
        <v>19101.3</v>
      </c>
      <c r="G388" s="299">
        <f t="shared" si="72"/>
        <v>14036.627140000001</v>
      </c>
      <c r="H388" s="80">
        <f t="shared" si="72"/>
        <v>19101.3</v>
      </c>
      <c r="I388" s="72">
        <f t="shared" si="71"/>
        <v>100</v>
      </c>
    </row>
    <row r="389" spans="1:9" s="53" customFormat="1" ht="13.5">
      <c r="A389" s="58" t="s">
        <v>360</v>
      </c>
      <c r="B389" s="59" t="s">
        <v>260</v>
      </c>
      <c r="C389" s="59" t="s">
        <v>446</v>
      </c>
      <c r="D389" s="61"/>
      <c r="E389" s="83"/>
      <c r="F389" s="78">
        <f t="shared" si="72"/>
        <v>19101.3</v>
      </c>
      <c r="G389" s="273">
        <f t="shared" si="72"/>
        <v>14036.627140000001</v>
      </c>
      <c r="H389" s="78">
        <f t="shared" si="72"/>
        <v>19101.3</v>
      </c>
      <c r="I389" s="60">
        <f t="shared" si="71"/>
        <v>100</v>
      </c>
    </row>
    <row r="390" spans="1:9" s="53" customFormat="1" ht="12">
      <c r="A390" s="97" t="s">
        <v>704</v>
      </c>
      <c r="B390" s="59" t="s">
        <v>260</v>
      </c>
      <c r="C390" s="59" t="s">
        <v>446</v>
      </c>
      <c r="D390" s="59" t="s">
        <v>71</v>
      </c>
      <c r="E390" s="83"/>
      <c r="F390" s="78">
        <f t="shared" si="72"/>
        <v>19101.3</v>
      </c>
      <c r="G390" s="273">
        <f t="shared" si="72"/>
        <v>14036.627140000001</v>
      </c>
      <c r="H390" s="78">
        <f t="shared" si="72"/>
        <v>19101.3</v>
      </c>
      <c r="I390" s="60">
        <f t="shared" si="71"/>
        <v>100</v>
      </c>
    </row>
    <row r="391" spans="1:9" s="53" customFormat="1" ht="12">
      <c r="A391" s="65" t="s">
        <v>88</v>
      </c>
      <c r="B391" s="66" t="s">
        <v>260</v>
      </c>
      <c r="C391" s="66" t="s">
        <v>446</v>
      </c>
      <c r="D391" s="66" t="s">
        <v>71</v>
      </c>
      <c r="E391" s="66" t="s">
        <v>87</v>
      </c>
      <c r="F391" s="79">
        <f t="shared" si="72"/>
        <v>19101.3</v>
      </c>
      <c r="G391" s="272">
        <f t="shared" si="72"/>
        <v>14036.627140000001</v>
      </c>
      <c r="H391" s="79">
        <f t="shared" si="72"/>
        <v>19101.3</v>
      </c>
      <c r="I391" s="67">
        <f t="shared" si="71"/>
        <v>100</v>
      </c>
    </row>
    <row r="392" spans="1:9" s="53" customFormat="1" ht="12">
      <c r="A392" s="65" t="s">
        <v>138</v>
      </c>
      <c r="B392" s="66" t="s">
        <v>260</v>
      </c>
      <c r="C392" s="66" t="s">
        <v>446</v>
      </c>
      <c r="D392" s="66" t="s">
        <v>71</v>
      </c>
      <c r="E392" s="66" t="s">
        <v>449</v>
      </c>
      <c r="F392" s="79">
        <f>16500+2601.3</f>
        <v>19101.3</v>
      </c>
      <c r="G392" s="272">
        <v>14036.627140000001</v>
      </c>
      <c r="H392" s="79">
        <v>19101.3</v>
      </c>
      <c r="I392" s="67">
        <f t="shared" si="71"/>
        <v>100</v>
      </c>
    </row>
    <row r="393" spans="1:9" s="53" customFormat="1" ht="36">
      <c r="A393" s="85" t="s">
        <v>503</v>
      </c>
      <c r="B393" s="59" t="s">
        <v>149</v>
      </c>
      <c r="C393" s="59"/>
      <c r="D393" s="59"/>
      <c r="E393" s="59"/>
      <c r="F393" s="60">
        <f t="shared" ref="F393:H394" si="73">F394</f>
        <v>11397.4</v>
      </c>
      <c r="G393" s="282">
        <f t="shared" si="73"/>
        <v>8754.2698</v>
      </c>
      <c r="H393" s="60">
        <f t="shared" si="73"/>
        <v>11397.4</v>
      </c>
      <c r="I393" s="60">
        <f t="shared" si="71"/>
        <v>100</v>
      </c>
    </row>
    <row r="394" spans="1:9" s="53" customFormat="1" ht="25.5">
      <c r="A394" s="112" t="s">
        <v>153</v>
      </c>
      <c r="B394" s="59" t="s">
        <v>149</v>
      </c>
      <c r="C394" s="59"/>
      <c r="D394" s="59"/>
      <c r="E394" s="59"/>
      <c r="F394" s="60">
        <f t="shared" si="73"/>
        <v>11397.4</v>
      </c>
      <c r="G394" s="282">
        <f t="shared" si="73"/>
        <v>8754.2698</v>
      </c>
      <c r="H394" s="60">
        <f t="shared" si="73"/>
        <v>11397.4</v>
      </c>
      <c r="I394" s="60">
        <f t="shared" si="71"/>
        <v>100</v>
      </c>
    </row>
    <row r="395" spans="1:9" s="53" customFormat="1" ht="36">
      <c r="A395" s="70" t="s">
        <v>364</v>
      </c>
      <c r="B395" s="71" t="s">
        <v>149</v>
      </c>
      <c r="C395" s="71"/>
      <c r="D395" s="71"/>
      <c r="E395" s="71"/>
      <c r="F395" s="72">
        <f>F396+F401</f>
        <v>11397.4</v>
      </c>
      <c r="G395" s="281">
        <f>G396+G401</f>
        <v>8754.2698</v>
      </c>
      <c r="H395" s="72">
        <f>H396+H401</f>
        <v>11397.4</v>
      </c>
      <c r="I395" s="72">
        <f t="shared" si="71"/>
        <v>100</v>
      </c>
    </row>
    <row r="396" spans="1:9" s="53" customFormat="1" ht="24">
      <c r="A396" s="73" t="s">
        <v>347</v>
      </c>
      <c r="B396" s="59" t="s">
        <v>262</v>
      </c>
      <c r="C396" s="59"/>
      <c r="D396" s="59"/>
      <c r="E396" s="59"/>
      <c r="F396" s="60">
        <f t="shared" ref="F396:H399" si="74">F397</f>
        <v>10660.4</v>
      </c>
      <c r="G396" s="282">
        <f t="shared" si="74"/>
        <v>8138.7560899999999</v>
      </c>
      <c r="H396" s="60">
        <f t="shared" si="74"/>
        <v>10660.4</v>
      </c>
      <c r="I396" s="60">
        <f t="shared" si="71"/>
        <v>100</v>
      </c>
    </row>
    <row r="397" spans="1:9" s="53" customFormat="1" ht="12">
      <c r="A397" s="70" t="s">
        <v>338</v>
      </c>
      <c r="B397" s="59" t="s">
        <v>262</v>
      </c>
      <c r="C397" s="59" t="s">
        <v>430</v>
      </c>
      <c r="D397" s="59"/>
      <c r="E397" s="59"/>
      <c r="F397" s="60">
        <f t="shared" si="74"/>
        <v>10660.4</v>
      </c>
      <c r="G397" s="282">
        <f t="shared" si="74"/>
        <v>8138.7560899999999</v>
      </c>
      <c r="H397" s="60">
        <f t="shared" si="74"/>
        <v>10660.4</v>
      </c>
      <c r="I397" s="60">
        <f t="shared" si="71"/>
        <v>100</v>
      </c>
    </row>
    <row r="398" spans="1:9" s="53" customFormat="1" ht="12">
      <c r="A398" s="70" t="s">
        <v>703</v>
      </c>
      <c r="B398" s="59" t="s">
        <v>262</v>
      </c>
      <c r="C398" s="59" t="s">
        <v>430</v>
      </c>
      <c r="D398" s="59" t="s">
        <v>424</v>
      </c>
      <c r="E398" s="59"/>
      <c r="F398" s="60">
        <f t="shared" si="74"/>
        <v>10660.4</v>
      </c>
      <c r="G398" s="282">
        <f t="shared" si="74"/>
        <v>8138.7560899999999</v>
      </c>
      <c r="H398" s="60">
        <f t="shared" si="74"/>
        <v>10660.4</v>
      </c>
      <c r="I398" s="60">
        <f t="shared" si="71"/>
        <v>100</v>
      </c>
    </row>
    <row r="399" spans="1:9" s="53" customFormat="1" ht="36">
      <c r="A399" s="65" t="s">
        <v>72</v>
      </c>
      <c r="B399" s="66" t="s">
        <v>262</v>
      </c>
      <c r="C399" s="66" t="s">
        <v>430</v>
      </c>
      <c r="D399" s="66" t="s">
        <v>424</v>
      </c>
      <c r="E399" s="66" t="s">
        <v>73</v>
      </c>
      <c r="F399" s="67">
        <f t="shared" si="74"/>
        <v>10660.4</v>
      </c>
      <c r="G399" s="280">
        <f t="shared" si="74"/>
        <v>8138.7560899999999</v>
      </c>
      <c r="H399" s="67">
        <f t="shared" si="74"/>
        <v>10660.4</v>
      </c>
      <c r="I399" s="67">
        <f t="shared" si="71"/>
        <v>100</v>
      </c>
    </row>
    <row r="400" spans="1:9" s="53" customFormat="1" ht="12">
      <c r="A400" s="65" t="s">
        <v>74</v>
      </c>
      <c r="B400" s="66" t="s">
        <v>262</v>
      </c>
      <c r="C400" s="66" t="s">
        <v>430</v>
      </c>
      <c r="D400" s="66" t="s">
        <v>424</v>
      </c>
      <c r="E400" s="66" t="s">
        <v>75</v>
      </c>
      <c r="F400" s="67">
        <f>10400+200+60.4</f>
        <v>10660.4</v>
      </c>
      <c r="G400" s="280">
        <v>8138.7560899999999</v>
      </c>
      <c r="H400" s="67">
        <v>10660.4</v>
      </c>
      <c r="I400" s="67">
        <f t="shared" si="71"/>
        <v>100</v>
      </c>
    </row>
    <row r="401" spans="1:9" s="53" customFormat="1" ht="12">
      <c r="A401" s="58" t="s">
        <v>76</v>
      </c>
      <c r="B401" s="59" t="s">
        <v>263</v>
      </c>
      <c r="C401" s="59"/>
      <c r="D401" s="59"/>
      <c r="E401" s="59"/>
      <c r="F401" s="60">
        <f t="shared" ref="F401:H402" si="75">F402</f>
        <v>737</v>
      </c>
      <c r="G401" s="282">
        <f t="shared" si="75"/>
        <v>615.51370999999995</v>
      </c>
      <c r="H401" s="60">
        <f t="shared" si="75"/>
        <v>737</v>
      </c>
      <c r="I401" s="60">
        <f t="shared" si="71"/>
        <v>100</v>
      </c>
    </row>
    <row r="402" spans="1:9" s="53" customFormat="1" ht="12">
      <c r="A402" s="70" t="s">
        <v>338</v>
      </c>
      <c r="B402" s="59" t="s">
        <v>263</v>
      </c>
      <c r="C402" s="59" t="s">
        <v>430</v>
      </c>
      <c r="D402" s="59"/>
      <c r="E402" s="59"/>
      <c r="F402" s="60">
        <f t="shared" si="75"/>
        <v>737</v>
      </c>
      <c r="G402" s="282">
        <f t="shared" si="75"/>
        <v>615.51370999999995</v>
      </c>
      <c r="H402" s="60">
        <f t="shared" si="75"/>
        <v>737</v>
      </c>
      <c r="I402" s="60">
        <f t="shared" si="71"/>
        <v>100</v>
      </c>
    </row>
    <row r="403" spans="1:9" s="53" customFormat="1" ht="12">
      <c r="A403" s="70" t="s">
        <v>703</v>
      </c>
      <c r="B403" s="59" t="s">
        <v>263</v>
      </c>
      <c r="C403" s="59" t="s">
        <v>430</v>
      </c>
      <c r="D403" s="59" t="s">
        <v>424</v>
      </c>
      <c r="E403" s="59"/>
      <c r="F403" s="60">
        <f>F404+F406</f>
        <v>737</v>
      </c>
      <c r="G403" s="282">
        <f>G404+G406</f>
        <v>615.51370999999995</v>
      </c>
      <c r="H403" s="60">
        <f>H404+H406</f>
        <v>737</v>
      </c>
      <c r="I403" s="60">
        <f t="shared" si="71"/>
        <v>100</v>
      </c>
    </row>
    <row r="404" spans="1:9" s="53" customFormat="1" ht="24">
      <c r="A404" s="65" t="s">
        <v>486</v>
      </c>
      <c r="B404" s="66" t="s">
        <v>263</v>
      </c>
      <c r="C404" s="66" t="s">
        <v>430</v>
      </c>
      <c r="D404" s="66" t="s">
        <v>424</v>
      </c>
      <c r="E404" s="66" t="s">
        <v>77</v>
      </c>
      <c r="F404" s="67">
        <f>F405</f>
        <v>722</v>
      </c>
      <c r="G404" s="280">
        <f>G405</f>
        <v>615.51370999999995</v>
      </c>
      <c r="H404" s="67">
        <f>H405</f>
        <v>722</v>
      </c>
      <c r="I404" s="67">
        <f t="shared" si="71"/>
        <v>100</v>
      </c>
    </row>
    <row r="405" spans="1:9" s="53" customFormat="1" ht="24">
      <c r="A405" s="65" t="s">
        <v>78</v>
      </c>
      <c r="B405" s="66" t="s">
        <v>263</v>
      </c>
      <c r="C405" s="66" t="s">
        <v>430</v>
      </c>
      <c r="D405" s="66" t="s">
        <v>424</v>
      </c>
      <c r="E405" s="66" t="s">
        <v>79</v>
      </c>
      <c r="F405" s="67">
        <f>487+235</f>
        <v>722</v>
      </c>
      <c r="G405" s="280">
        <v>615.51370999999995</v>
      </c>
      <c r="H405" s="67">
        <v>722</v>
      </c>
      <c r="I405" s="67">
        <f t="shared" si="71"/>
        <v>100</v>
      </c>
    </row>
    <row r="406" spans="1:9" s="53" customFormat="1" ht="12">
      <c r="A406" s="65" t="s">
        <v>80</v>
      </c>
      <c r="B406" s="66" t="s">
        <v>263</v>
      </c>
      <c r="C406" s="66" t="s">
        <v>430</v>
      </c>
      <c r="D406" s="66" t="s">
        <v>424</v>
      </c>
      <c r="E406" s="66" t="s">
        <v>81</v>
      </c>
      <c r="F406" s="67">
        <f>F407</f>
        <v>15</v>
      </c>
      <c r="G406" s="272">
        <f>G407</f>
        <v>0</v>
      </c>
      <c r="H406" s="67">
        <f>H407</f>
        <v>15</v>
      </c>
      <c r="I406" s="67">
        <f t="shared" si="71"/>
        <v>100</v>
      </c>
    </row>
    <row r="407" spans="1:9" s="53" customFormat="1" ht="12">
      <c r="A407" s="65" t="s">
        <v>445</v>
      </c>
      <c r="B407" s="66" t="s">
        <v>263</v>
      </c>
      <c r="C407" s="66" t="s">
        <v>430</v>
      </c>
      <c r="D407" s="66" t="s">
        <v>424</v>
      </c>
      <c r="E407" s="66" t="s">
        <v>82</v>
      </c>
      <c r="F407" s="67">
        <v>15</v>
      </c>
      <c r="G407" s="272">
        <v>0</v>
      </c>
      <c r="H407" s="67">
        <v>15</v>
      </c>
      <c r="I407" s="67">
        <f t="shared" si="71"/>
        <v>100</v>
      </c>
    </row>
    <row r="408" spans="1:9" s="53" customFormat="1" ht="13.5">
      <c r="A408" s="138" t="s">
        <v>583</v>
      </c>
      <c r="B408" s="137" t="s">
        <v>227</v>
      </c>
      <c r="C408" s="137"/>
      <c r="D408" s="137"/>
      <c r="E408" s="137"/>
      <c r="F408" s="136">
        <f>F409+F447+F463+F487</f>
        <v>205375.5</v>
      </c>
      <c r="G408" s="283">
        <f>G409+G447+G463+G487</f>
        <v>162600.11983000001</v>
      </c>
      <c r="H408" s="136">
        <f>H409+H447+H463+H487</f>
        <v>200089.375</v>
      </c>
      <c r="I408" s="136">
        <f t="shared" si="71"/>
        <v>97.426117039276832</v>
      </c>
    </row>
    <row r="409" spans="1:9" s="53" customFormat="1" ht="12">
      <c r="A409" s="70" t="s">
        <v>68</v>
      </c>
      <c r="B409" s="71" t="s">
        <v>242</v>
      </c>
      <c r="C409" s="71"/>
      <c r="D409" s="71"/>
      <c r="E409" s="71"/>
      <c r="F409" s="72">
        <f>F410+F415+F420+F432+F437+F442+F427</f>
        <v>27900</v>
      </c>
      <c r="G409" s="72">
        <f>G410+G415+G420+G432+G437+G442+G427</f>
        <v>16902.864999999998</v>
      </c>
      <c r="H409" s="72">
        <f>H410+H415+H420+H432+H437+H442+H427</f>
        <v>27299.875</v>
      </c>
      <c r="I409" s="72">
        <f t="shared" si="71"/>
        <v>97.849014336917563</v>
      </c>
    </row>
    <row r="410" spans="1:9" s="53" customFormat="1" ht="12">
      <c r="A410" s="85" t="s">
        <v>234</v>
      </c>
      <c r="B410" s="59" t="s">
        <v>586</v>
      </c>
      <c r="C410" s="59"/>
      <c r="D410" s="59"/>
      <c r="E410" s="71"/>
      <c r="F410" s="60">
        <f t="shared" ref="F410:H413" si="76">F411</f>
        <v>24000</v>
      </c>
      <c r="G410" s="282">
        <f t="shared" si="76"/>
        <v>14152.99</v>
      </c>
      <c r="H410" s="60">
        <f t="shared" si="76"/>
        <v>24000</v>
      </c>
      <c r="I410" s="60">
        <f t="shared" si="71"/>
        <v>100</v>
      </c>
    </row>
    <row r="411" spans="1:9" s="53" customFormat="1" ht="12">
      <c r="A411" s="85" t="s">
        <v>585</v>
      </c>
      <c r="B411" s="59" t="s">
        <v>586</v>
      </c>
      <c r="C411" s="59" t="s">
        <v>428</v>
      </c>
      <c r="D411" s="59"/>
      <c r="E411" s="71"/>
      <c r="F411" s="60">
        <f t="shared" si="76"/>
        <v>24000</v>
      </c>
      <c r="G411" s="282">
        <f t="shared" si="76"/>
        <v>14152.99</v>
      </c>
      <c r="H411" s="60">
        <f t="shared" si="76"/>
        <v>24000</v>
      </c>
      <c r="I411" s="60">
        <f t="shared" si="71"/>
        <v>100</v>
      </c>
    </row>
    <row r="412" spans="1:9" s="53" customFormat="1" ht="12">
      <c r="A412" s="85" t="s">
        <v>408</v>
      </c>
      <c r="B412" s="59" t="s">
        <v>586</v>
      </c>
      <c r="C412" s="59" t="s">
        <v>428</v>
      </c>
      <c r="D412" s="59" t="s">
        <v>71</v>
      </c>
      <c r="E412" s="71"/>
      <c r="F412" s="60">
        <f t="shared" si="76"/>
        <v>24000</v>
      </c>
      <c r="G412" s="282">
        <f t="shared" si="76"/>
        <v>14152.99</v>
      </c>
      <c r="H412" s="60">
        <f t="shared" si="76"/>
        <v>24000</v>
      </c>
      <c r="I412" s="60">
        <f t="shared" si="71"/>
        <v>100</v>
      </c>
    </row>
    <row r="413" spans="1:9" s="53" customFormat="1" ht="24">
      <c r="A413" s="65" t="s">
        <v>486</v>
      </c>
      <c r="B413" s="66" t="s">
        <v>586</v>
      </c>
      <c r="C413" s="66" t="s">
        <v>428</v>
      </c>
      <c r="D413" s="66" t="s">
        <v>71</v>
      </c>
      <c r="E413" s="66" t="s">
        <v>77</v>
      </c>
      <c r="F413" s="67">
        <f t="shared" si="76"/>
        <v>24000</v>
      </c>
      <c r="G413" s="280">
        <f t="shared" si="76"/>
        <v>14152.99</v>
      </c>
      <c r="H413" s="67">
        <f t="shared" si="76"/>
        <v>24000</v>
      </c>
      <c r="I413" s="67">
        <f t="shared" si="71"/>
        <v>100</v>
      </c>
    </row>
    <row r="414" spans="1:9" s="53" customFormat="1" ht="24">
      <c r="A414" s="65" t="s">
        <v>78</v>
      </c>
      <c r="B414" s="66" t="s">
        <v>586</v>
      </c>
      <c r="C414" s="66" t="s">
        <v>428</v>
      </c>
      <c r="D414" s="66" t="s">
        <v>71</v>
      </c>
      <c r="E414" s="66" t="s">
        <v>79</v>
      </c>
      <c r="F414" s="67">
        <v>24000</v>
      </c>
      <c r="G414" s="280">
        <v>14152.99</v>
      </c>
      <c r="H414" s="67">
        <v>24000</v>
      </c>
      <c r="I414" s="67">
        <f t="shared" si="71"/>
        <v>100</v>
      </c>
    </row>
    <row r="415" spans="1:9" s="53" customFormat="1" ht="12">
      <c r="A415" s="85" t="s">
        <v>316</v>
      </c>
      <c r="B415" s="59" t="s">
        <v>587</v>
      </c>
      <c r="C415" s="59"/>
      <c r="D415" s="59"/>
      <c r="E415" s="71"/>
      <c r="F415" s="60">
        <f t="shared" ref="F415:H418" si="77">F416</f>
        <v>350</v>
      </c>
      <c r="G415" s="282">
        <f t="shared" si="77"/>
        <v>349.875</v>
      </c>
      <c r="H415" s="60">
        <f t="shared" si="77"/>
        <v>349.875</v>
      </c>
      <c r="I415" s="60">
        <f t="shared" si="71"/>
        <v>99.964285714285722</v>
      </c>
    </row>
    <row r="416" spans="1:9" s="53" customFormat="1" ht="12">
      <c r="A416" s="85" t="s">
        <v>585</v>
      </c>
      <c r="B416" s="59" t="s">
        <v>587</v>
      </c>
      <c r="C416" s="59" t="s">
        <v>428</v>
      </c>
      <c r="D416" s="59"/>
      <c r="E416" s="71"/>
      <c r="F416" s="60">
        <f t="shared" si="77"/>
        <v>350</v>
      </c>
      <c r="G416" s="282">
        <f t="shared" si="77"/>
        <v>349.875</v>
      </c>
      <c r="H416" s="60">
        <f t="shared" si="77"/>
        <v>349.875</v>
      </c>
      <c r="I416" s="60">
        <f t="shared" si="71"/>
        <v>99.964285714285722</v>
      </c>
    </row>
    <row r="417" spans="1:9" s="53" customFormat="1" ht="12">
      <c r="A417" s="85" t="s">
        <v>408</v>
      </c>
      <c r="B417" s="59" t="s">
        <v>587</v>
      </c>
      <c r="C417" s="59" t="s">
        <v>428</v>
      </c>
      <c r="D417" s="59" t="s">
        <v>71</v>
      </c>
      <c r="E417" s="71"/>
      <c r="F417" s="60">
        <f t="shared" si="77"/>
        <v>350</v>
      </c>
      <c r="G417" s="282">
        <f t="shared" si="77"/>
        <v>349.875</v>
      </c>
      <c r="H417" s="60">
        <f t="shared" si="77"/>
        <v>349.875</v>
      </c>
      <c r="I417" s="60">
        <f t="shared" si="71"/>
        <v>99.964285714285722</v>
      </c>
    </row>
    <row r="418" spans="1:9" s="53" customFormat="1" ht="24">
      <c r="A418" s="65" t="s">
        <v>486</v>
      </c>
      <c r="B418" s="66" t="s">
        <v>587</v>
      </c>
      <c r="C418" s="66" t="s">
        <v>428</v>
      </c>
      <c r="D418" s="66" t="s">
        <v>71</v>
      </c>
      <c r="E418" s="66" t="s">
        <v>77</v>
      </c>
      <c r="F418" s="67">
        <f t="shared" si="77"/>
        <v>350</v>
      </c>
      <c r="G418" s="280">
        <f t="shared" si="77"/>
        <v>349.875</v>
      </c>
      <c r="H418" s="67">
        <f t="shared" si="77"/>
        <v>349.875</v>
      </c>
      <c r="I418" s="67">
        <f t="shared" si="71"/>
        <v>99.964285714285722</v>
      </c>
    </row>
    <row r="419" spans="1:9" s="53" customFormat="1" ht="24">
      <c r="A419" s="65" t="s">
        <v>78</v>
      </c>
      <c r="B419" s="66" t="s">
        <v>587</v>
      </c>
      <c r="C419" s="66" t="s">
        <v>428</v>
      </c>
      <c r="D419" s="66" t="s">
        <v>71</v>
      </c>
      <c r="E419" s="66" t="s">
        <v>79</v>
      </c>
      <c r="F419" s="67">
        <v>350</v>
      </c>
      <c r="G419" s="280">
        <v>349.875</v>
      </c>
      <c r="H419" s="67">
        <v>349.875</v>
      </c>
      <c r="I419" s="67">
        <f t="shared" si="71"/>
        <v>99.964285714285722</v>
      </c>
    </row>
    <row r="420" spans="1:9" s="53" customFormat="1" ht="36">
      <c r="A420" s="58" t="s">
        <v>317</v>
      </c>
      <c r="B420" s="59" t="s">
        <v>588</v>
      </c>
      <c r="C420" s="59"/>
      <c r="D420" s="59"/>
      <c r="E420" s="59"/>
      <c r="F420" s="78">
        <f t="shared" ref="F420:H421" si="78">F421</f>
        <v>200</v>
      </c>
      <c r="G420" s="78">
        <f t="shared" si="78"/>
        <v>100</v>
      </c>
      <c r="H420" s="78">
        <f t="shared" si="78"/>
        <v>100</v>
      </c>
      <c r="I420" s="60">
        <f t="shared" si="71"/>
        <v>50</v>
      </c>
    </row>
    <row r="421" spans="1:9" s="53" customFormat="1" ht="12">
      <c r="A421" s="85" t="s">
        <v>585</v>
      </c>
      <c r="B421" s="59" t="s">
        <v>588</v>
      </c>
      <c r="C421" s="59" t="s">
        <v>428</v>
      </c>
      <c r="D421" s="59"/>
      <c r="E421" s="59"/>
      <c r="F421" s="78">
        <f t="shared" si="78"/>
        <v>200</v>
      </c>
      <c r="G421" s="78">
        <f t="shared" si="78"/>
        <v>100</v>
      </c>
      <c r="H421" s="78">
        <f t="shared" si="78"/>
        <v>100</v>
      </c>
      <c r="I421" s="60">
        <f t="shared" si="71"/>
        <v>50</v>
      </c>
    </row>
    <row r="422" spans="1:9" s="53" customFormat="1" ht="12">
      <c r="A422" s="85" t="s">
        <v>408</v>
      </c>
      <c r="B422" s="59" t="s">
        <v>588</v>
      </c>
      <c r="C422" s="59" t="s">
        <v>428</v>
      </c>
      <c r="D422" s="59" t="s">
        <v>71</v>
      </c>
      <c r="E422" s="59"/>
      <c r="F422" s="78">
        <f>F423+F425</f>
        <v>200</v>
      </c>
      <c r="G422" s="78">
        <f>G423+G425</f>
        <v>100</v>
      </c>
      <c r="H422" s="78">
        <f>H423+H425</f>
        <v>100</v>
      </c>
      <c r="I422" s="60">
        <f t="shared" si="71"/>
        <v>50</v>
      </c>
    </row>
    <row r="423" spans="1:9" s="53" customFormat="1" ht="24">
      <c r="A423" s="65" t="s">
        <v>486</v>
      </c>
      <c r="B423" s="66" t="s">
        <v>588</v>
      </c>
      <c r="C423" s="66" t="s">
        <v>428</v>
      </c>
      <c r="D423" s="66" t="s">
        <v>71</v>
      </c>
      <c r="E423" s="66" t="s">
        <v>77</v>
      </c>
      <c r="F423" s="79">
        <f>F424</f>
        <v>100</v>
      </c>
      <c r="G423" s="79">
        <f>G424</f>
        <v>0</v>
      </c>
      <c r="H423" s="79">
        <f>H424</f>
        <v>0</v>
      </c>
      <c r="I423" s="79">
        <f t="shared" si="71"/>
        <v>0</v>
      </c>
    </row>
    <row r="424" spans="1:9" s="53" customFormat="1" ht="24">
      <c r="A424" s="65" t="s">
        <v>78</v>
      </c>
      <c r="B424" s="66" t="s">
        <v>588</v>
      </c>
      <c r="C424" s="66" t="s">
        <v>428</v>
      </c>
      <c r="D424" s="66" t="s">
        <v>71</v>
      </c>
      <c r="E424" s="66" t="s">
        <v>79</v>
      </c>
      <c r="F424" s="79">
        <v>100</v>
      </c>
      <c r="G424" s="272">
        <v>0</v>
      </c>
      <c r="H424" s="79">
        <f>100-100</f>
        <v>0</v>
      </c>
      <c r="I424" s="79">
        <f t="shared" si="71"/>
        <v>0</v>
      </c>
    </row>
    <row r="425" spans="1:9" s="53" customFormat="1" ht="12">
      <c r="A425" s="139" t="s">
        <v>88</v>
      </c>
      <c r="B425" s="66" t="s">
        <v>588</v>
      </c>
      <c r="C425" s="66" t="s">
        <v>428</v>
      </c>
      <c r="D425" s="66" t="s">
        <v>71</v>
      </c>
      <c r="E425" s="66" t="s">
        <v>87</v>
      </c>
      <c r="F425" s="79">
        <f>F426</f>
        <v>100</v>
      </c>
      <c r="G425" s="272">
        <f>G426</f>
        <v>100</v>
      </c>
      <c r="H425" s="79">
        <f>H426</f>
        <v>100</v>
      </c>
      <c r="I425" s="67">
        <f t="shared" si="71"/>
        <v>100</v>
      </c>
    </row>
    <row r="426" spans="1:9" s="53" customFormat="1" ht="12">
      <c r="A426" s="65" t="s">
        <v>724</v>
      </c>
      <c r="B426" s="66" t="s">
        <v>588</v>
      </c>
      <c r="C426" s="66" t="s">
        <v>428</v>
      </c>
      <c r="D426" s="66" t="s">
        <v>71</v>
      </c>
      <c r="E426" s="22" t="s">
        <v>725</v>
      </c>
      <c r="F426" s="79">
        <v>100</v>
      </c>
      <c r="G426" s="272">
        <v>100</v>
      </c>
      <c r="H426" s="79">
        <v>100</v>
      </c>
      <c r="I426" s="67">
        <f t="shared" si="71"/>
        <v>100</v>
      </c>
    </row>
    <row r="427" spans="1:9" s="53" customFormat="1" ht="24">
      <c r="A427" s="58" t="s">
        <v>758</v>
      </c>
      <c r="B427" s="59" t="s">
        <v>759</v>
      </c>
      <c r="C427" s="66"/>
      <c r="D427" s="66"/>
      <c r="E427" s="59"/>
      <c r="F427" s="78">
        <f t="shared" ref="F427:H430" si="79">F428</f>
        <v>2300</v>
      </c>
      <c r="G427" s="78">
        <f t="shared" si="79"/>
        <v>2300</v>
      </c>
      <c r="H427" s="78">
        <f t="shared" si="79"/>
        <v>2300</v>
      </c>
      <c r="I427" s="60">
        <f t="shared" si="71"/>
        <v>100</v>
      </c>
    </row>
    <row r="428" spans="1:9" s="53" customFormat="1" ht="12">
      <c r="A428" s="85" t="s">
        <v>585</v>
      </c>
      <c r="B428" s="59" t="s">
        <v>759</v>
      </c>
      <c r="C428" s="59" t="s">
        <v>428</v>
      </c>
      <c r="D428" s="59"/>
      <c r="E428" s="59"/>
      <c r="F428" s="78">
        <f t="shared" si="79"/>
        <v>2300</v>
      </c>
      <c r="G428" s="78">
        <f t="shared" si="79"/>
        <v>2300</v>
      </c>
      <c r="H428" s="78">
        <f t="shared" si="79"/>
        <v>2300</v>
      </c>
      <c r="I428" s="60">
        <f t="shared" si="71"/>
        <v>100</v>
      </c>
    </row>
    <row r="429" spans="1:9" s="53" customFormat="1" ht="12">
      <c r="A429" s="85" t="s">
        <v>408</v>
      </c>
      <c r="B429" s="59" t="s">
        <v>759</v>
      </c>
      <c r="C429" s="59" t="s">
        <v>428</v>
      </c>
      <c r="D429" s="59" t="s">
        <v>71</v>
      </c>
      <c r="E429" s="59"/>
      <c r="F429" s="78">
        <f t="shared" si="79"/>
        <v>2300</v>
      </c>
      <c r="G429" s="78">
        <f t="shared" si="79"/>
        <v>2300</v>
      </c>
      <c r="H429" s="78">
        <f t="shared" si="79"/>
        <v>2300</v>
      </c>
      <c r="I429" s="60">
        <f t="shared" si="71"/>
        <v>100</v>
      </c>
    </row>
    <row r="430" spans="1:9" s="53" customFormat="1" ht="24">
      <c r="A430" s="65" t="s">
        <v>486</v>
      </c>
      <c r="B430" s="66" t="s">
        <v>759</v>
      </c>
      <c r="C430" s="66" t="s">
        <v>428</v>
      </c>
      <c r="D430" s="66" t="s">
        <v>71</v>
      </c>
      <c r="E430" s="66" t="s">
        <v>77</v>
      </c>
      <c r="F430" s="79">
        <f t="shared" si="79"/>
        <v>2300</v>
      </c>
      <c r="G430" s="79">
        <f t="shared" si="79"/>
        <v>2300</v>
      </c>
      <c r="H430" s="79">
        <f t="shared" si="79"/>
        <v>2300</v>
      </c>
      <c r="I430" s="67">
        <f t="shared" si="71"/>
        <v>100</v>
      </c>
    </row>
    <row r="431" spans="1:9" s="53" customFormat="1" ht="24">
      <c r="A431" s="65" t="s">
        <v>78</v>
      </c>
      <c r="B431" s="66" t="s">
        <v>759</v>
      </c>
      <c r="C431" s="66" t="s">
        <v>428</v>
      </c>
      <c r="D431" s="66" t="s">
        <v>71</v>
      </c>
      <c r="E431" s="66" t="s">
        <v>79</v>
      </c>
      <c r="F431" s="79">
        <v>2300</v>
      </c>
      <c r="G431" s="272">
        <v>2300</v>
      </c>
      <c r="H431" s="79">
        <v>2300</v>
      </c>
      <c r="I431" s="67">
        <f t="shared" si="71"/>
        <v>100</v>
      </c>
    </row>
    <row r="432" spans="1:9" s="53" customFormat="1" ht="24">
      <c r="A432" s="58" t="s">
        <v>589</v>
      </c>
      <c r="B432" s="59" t="s">
        <v>590</v>
      </c>
      <c r="C432" s="59"/>
      <c r="D432" s="59"/>
      <c r="E432" s="59"/>
      <c r="F432" s="60">
        <f t="shared" ref="F432:H435" si="80">F433</f>
        <v>300</v>
      </c>
      <c r="G432" s="273">
        <f t="shared" si="80"/>
        <v>0</v>
      </c>
      <c r="H432" s="60">
        <f t="shared" si="80"/>
        <v>100</v>
      </c>
      <c r="I432" s="78">
        <f t="shared" si="71"/>
        <v>33.333333333333329</v>
      </c>
    </row>
    <row r="433" spans="1:9" s="53" customFormat="1" ht="12">
      <c r="A433" s="85" t="s">
        <v>585</v>
      </c>
      <c r="B433" s="59" t="s">
        <v>590</v>
      </c>
      <c r="C433" s="59" t="s">
        <v>428</v>
      </c>
      <c r="D433" s="59"/>
      <c r="E433" s="59"/>
      <c r="F433" s="60">
        <f t="shared" si="80"/>
        <v>300</v>
      </c>
      <c r="G433" s="273">
        <f t="shared" si="80"/>
        <v>0</v>
      </c>
      <c r="H433" s="60">
        <f t="shared" si="80"/>
        <v>100</v>
      </c>
      <c r="I433" s="78">
        <f t="shared" si="71"/>
        <v>33.333333333333329</v>
      </c>
    </row>
    <row r="434" spans="1:9" s="53" customFormat="1" ht="12">
      <c r="A434" s="85" t="s">
        <v>408</v>
      </c>
      <c r="B434" s="59" t="s">
        <v>590</v>
      </c>
      <c r="C434" s="59" t="s">
        <v>428</v>
      </c>
      <c r="D434" s="59" t="s">
        <v>71</v>
      </c>
      <c r="E434" s="59"/>
      <c r="F434" s="60">
        <f t="shared" si="80"/>
        <v>300</v>
      </c>
      <c r="G434" s="273">
        <f t="shared" si="80"/>
        <v>0</v>
      </c>
      <c r="H434" s="60">
        <f t="shared" si="80"/>
        <v>100</v>
      </c>
      <c r="I434" s="78">
        <f t="shared" si="71"/>
        <v>33.333333333333329</v>
      </c>
    </row>
    <row r="435" spans="1:9" s="53" customFormat="1" ht="24">
      <c r="A435" s="65" t="s">
        <v>486</v>
      </c>
      <c r="B435" s="66" t="s">
        <v>590</v>
      </c>
      <c r="C435" s="66" t="s">
        <v>428</v>
      </c>
      <c r="D435" s="66" t="s">
        <v>71</v>
      </c>
      <c r="E435" s="66" t="s">
        <v>77</v>
      </c>
      <c r="F435" s="67">
        <f t="shared" si="80"/>
        <v>300</v>
      </c>
      <c r="G435" s="272">
        <f t="shared" si="80"/>
        <v>0</v>
      </c>
      <c r="H435" s="67">
        <f t="shared" si="80"/>
        <v>100</v>
      </c>
      <c r="I435" s="79">
        <f t="shared" si="71"/>
        <v>33.333333333333329</v>
      </c>
    </row>
    <row r="436" spans="1:9" s="53" customFormat="1" ht="24">
      <c r="A436" s="65" t="s">
        <v>78</v>
      </c>
      <c r="B436" s="66" t="s">
        <v>590</v>
      </c>
      <c r="C436" s="66" t="s">
        <v>428</v>
      </c>
      <c r="D436" s="66" t="s">
        <v>71</v>
      </c>
      <c r="E436" s="66" t="s">
        <v>79</v>
      </c>
      <c r="F436" s="67">
        <v>300</v>
      </c>
      <c r="G436" s="272">
        <v>0</v>
      </c>
      <c r="H436" s="67">
        <f>300-200</f>
        <v>100</v>
      </c>
      <c r="I436" s="79">
        <f t="shared" si="71"/>
        <v>33.333333333333329</v>
      </c>
    </row>
    <row r="437" spans="1:9" s="53" customFormat="1" ht="24">
      <c r="A437" s="58" t="s">
        <v>306</v>
      </c>
      <c r="B437" s="59" t="s">
        <v>591</v>
      </c>
      <c r="C437" s="59"/>
      <c r="D437" s="59"/>
      <c r="E437" s="59"/>
      <c r="F437" s="60">
        <f t="shared" ref="F437:H440" si="81">F438</f>
        <v>450</v>
      </c>
      <c r="G437" s="273">
        <f t="shared" si="81"/>
        <v>0</v>
      </c>
      <c r="H437" s="60">
        <f t="shared" si="81"/>
        <v>450</v>
      </c>
      <c r="I437" s="60">
        <f t="shared" si="71"/>
        <v>100</v>
      </c>
    </row>
    <row r="438" spans="1:9" s="53" customFormat="1" ht="12">
      <c r="A438" s="85" t="s">
        <v>585</v>
      </c>
      <c r="B438" s="59" t="s">
        <v>591</v>
      </c>
      <c r="C438" s="59" t="s">
        <v>428</v>
      </c>
      <c r="D438" s="59"/>
      <c r="E438" s="59"/>
      <c r="F438" s="60">
        <f t="shared" si="81"/>
        <v>450</v>
      </c>
      <c r="G438" s="273">
        <f t="shared" si="81"/>
        <v>0</v>
      </c>
      <c r="H438" s="60">
        <f t="shared" si="81"/>
        <v>450</v>
      </c>
      <c r="I438" s="60">
        <f t="shared" si="71"/>
        <v>100</v>
      </c>
    </row>
    <row r="439" spans="1:9" s="53" customFormat="1" ht="12">
      <c r="A439" s="85" t="s">
        <v>408</v>
      </c>
      <c r="B439" s="59" t="s">
        <v>591</v>
      </c>
      <c r="C439" s="59" t="s">
        <v>428</v>
      </c>
      <c r="D439" s="59" t="s">
        <v>71</v>
      </c>
      <c r="E439" s="59"/>
      <c r="F439" s="60">
        <f t="shared" si="81"/>
        <v>450</v>
      </c>
      <c r="G439" s="273">
        <f t="shared" si="81"/>
        <v>0</v>
      </c>
      <c r="H439" s="60">
        <f t="shared" si="81"/>
        <v>450</v>
      </c>
      <c r="I439" s="60">
        <f t="shared" si="71"/>
        <v>100</v>
      </c>
    </row>
    <row r="440" spans="1:9" s="53" customFormat="1" ht="24">
      <c r="A440" s="65" t="s">
        <v>486</v>
      </c>
      <c r="B440" s="66" t="s">
        <v>591</v>
      </c>
      <c r="C440" s="66" t="s">
        <v>428</v>
      </c>
      <c r="D440" s="66" t="s">
        <v>71</v>
      </c>
      <c r="E440" s="66" t="s">
        <v>77</v>
      </c>
      <c r="F440" s="67">
        <f t="shared" si="81"/>
        <v>450</v>
      </c>
      <c r="G440" s="272">
        <f t="shared" si="81"/>
        <v>0</v>
      </c>
      <c r="H440" s="67">
        <f t="shared" si="81"/>
        <v>450</v>
      </c>
      <c r="I440" s="67">
        <f t="shared" si="71"/>
        <v>100</v>
      </c>
    </row>
    <row r="441" spans="1:9" s="53" customFormat="1" ht="24">
      <c r="A441" s="65" t="s">
        <v>78</v>
      </c>
      <c r="B441" s="66" t="s">
        <v>591</v>
      </c>
      <c r="C441" s="66" t="s">
        <v>428</v>
      </c>
      <c r="D441" s="66" t="s">
        <v>71</v>
      </c>
      <c r="E441" s="66" t="s">
        <v>79</v>
      </c>
      <c r="F441" s="67">
        <v>450</v>
      </c>
      <c r="G441" s="272">
        <v>0</v>
      </c>
      <c r="H441" s="67">
        <v>450</v>
      </c>
      <c r="I441" s="67">
        <f t="shared" si="71"/>
        <v>100</v>
      </c>
    </row>
    <row r="442" spans="1:9" s="53" customFormat="1" ht="12">
      <c r="A442" s="58" t="s">
        <v>792</v>
      </c>
      <c r="B442" s="59" t="s">
        <v>791</v>
      </c>
      <c r="C442" s="59"/>
      <c r="D442" s="59"/>
      <c r="E442" s="59"/>
      <c r="F442" s="78">
        <f t="shared" ref="F442:H445" si="82">F443</f>
        <v>300</v>
      </c>
      <c r="G442" s="273">
        <f t="shared" si="82"/>
        <v>0</v>
      </c>
      <c r="H442" s="78">
        <f t="shared" si="82"/>
        <v>0</v>
      </c>
      <c r="I442" s="78">
        <f t="shared" si="71"/>
        <v>0</v>
      </c>
    </row>
    <row r="443" spans="1:9" s="53" customFormat="1" ht="12">
      <c r="A443" s="85" t="s">
        <v>585</v>
      </c>
      <c r="B443" s="59" t="s">
        <v>791</v>
      </c>
      <c r="C443" s="59" t="s">
        <v>428</v>
      </c>
      <c r="D443" s="59"/>
      <c r="E443" s="59"/>
      <c r="F443" s="78">
        <f t="shared" si="82"/>
        <v>300</v>
      </c>
      <c r="G443" s="273">
        <f t="shared" si="82"/>
        <v>0</v>
      </c>
      <c r="H443" s="78">
        <f t="shared" si="82"/>
        <v>0</v>
      </c>
      <c r="I443" s="78">
        <f t="shared" si="71"/>
        <v>0</v>
      </c>
    </row>
    <row r="444" spans="1:9" s="53" customFormat="1" ht="12">
      <c r="A444" s="85" t="s">
        <v>408</v>
      </c>
      <c r="B444" s="59" t="s">
        <v>791</v>
      </c>
      <c r="C444" s="59" t="s">
        <v>428</v>
      </c>
      <c r="D444" s="59" t="s">
        <v>71</v>
      </c>
      <c r="E444" s="59"/>
      <c r="F444" s="78">
        <f t="shared" si="82"/>
        <v>300</v>
      </c>
      <c r="G444" s="273">
        <f t="shared" si="82"/>
        <v>0</v>
      </c>
      <c r="H444" s="78">
        <f t="shared" si="82"/>
        <v>0</v>
      </c>
      <c r="I444" s="78">
        <f t="shared" si="71"/>
        <v>0</v>
      </c>
    </row>
    <row r="445" spans="1:9" s="53" customFormat="1" ht="24">
      <c r="A445" s="65" t="s">
        <v>486</v>
      </c>
      <c r="B445" s="66" t="s">
        <v>791</v>
      </c>
      <c r="C445" s="66" t="s">
        <v>428</v>
      </c>
      <c r="D445" s="66" t="s">
        <v>71</v>
      </c>
      <c r="E445" s="66" t="s">
        <v>77</v>
      </c>
      <c r="F445" s="79">
        <f t="shared" si="82"/>
        <v>300</v>
      </c>
      <c r="G445" s="272">
        <f t="shared" si="82"/>
        <v>0</v>
      </c>
      <c r="H445" s="79">
        <f t="shared" si="82"/>
        <v>0</v>
      </c>
      <c r="I445" s="79">
        <f t="shared" si="71"/>
        <v>0</v>
      </c>
    </row>
    <row r="446" spans="1:9" s="53" customFormat="1" ht="24">
      <c r="A446" s="65" t="s">
        <v>78</v>
      </c>
      <c r="B446" s="66" t="s">
        <v>791</v>
      </c>
      <c r="C446" s="66" t="s">
        <v>428</v>
      </c>
      <c r="D446" s="66" t="s">
        <v>71</v>
      </c>
      <c r="E446" s="66" t="s">
        <v>79</v>
      </c>
      <c r="F446" s="79">
        <v>300</v>
      </c>
      <c r="G446" s="272">
        <v>0</v>
      </c>
      <c r="H446" s="79">
        <f>300-300</f>
        <v>0</v>
      </c>
      <c r="I446" s="79">
        <f t="shared" si="71"/>
        <v>0</v>
      </c>
    </row>
    <row r="447" spans="1:9" s="53" customFormat="1" ht="24">
      <c r="A447" s="224" t="s">
        <v>319</v>
      </c>
      <c r="B447" s="140" t="s">
        <v>233</v>
      </c>
      <c r="C447" s="66"/>
      <c r="D447" s="66"/>
      <c r="E447" s="66"/>
      <c r="F447" s="80">
        <f>F448+F453+F458</f>
        <v>2650</v>
      </c>
      <c r="G447" s="299">
        <f>G448+G453+G458</f>
        <v>2335.578</v>
      </c>
      <c r="H447" s="80">
        <f>H448+H453+H458</f>
        <v>2465</v>
      </c>
      <c r="I447" s="72">
        <f t="shared" ref="I447:I510" si="83">H447/F447*100</f>
        <v>93.018867924528308</v>
      </c>
    </row>
    <row r="448" spans="1:9" s="53" customFormat="1" ht="12">
      <c r="A448" s="85" t="s">
        <v>234</v>
      </c>
      <c r="B448" s="59" t="s">
        <v>593</v>
      </c>
      <c r="C448" s="59"/>
      <c r="D448" s="59"/>
      <c r="E448" s="59"/>
      <c r="F448" s="60">
        <f t="shared" ref="F448:H451" si="84">F449</f>
        <v>1950</v>
      </c>
      <c r="G448" s="282">
        <f t="shared" si="84"/>
        <v>1948.578</v>
      </c>
      <c r="H448" s="60">
        <f t="shared" si="84"/>
        <v>1950</v>
      </c>
      <c r="I448" s="60">
        <f t="shared" si="83"/>
        <v>100</v>
      </c>
    </row>
    <row r="449" spans="1:9" s="53" customFormat="1" ht="12">
      <c r="A449" s="85" t="s">
        <v>338</v>
      </c>
      <c r="B449" s="59" t="s">
        <v>593</v>
      </c>
      <c r="C449" s="59" t="s">
        <v>430</v>
      </c>
      <c r="D449" s="59"/>
      <c r="E449" s="59"/>
      <c r="F449" s="60">
        <f t="shared" si="84"/>
        <v>1950</v>
      </c>
      <c r="G449" s="282">
        <f t="shared" si="84"/>
        <v>1948.578</v>
      </c>
      <c r="H449" s="60">
        <f t="shared" si="84"/>
        <v>1950</v>
      </c>
      <c r="I449" s="60">
        <f t="shared" si="83"/>
        <v>100</v>
      </c>
    </row>
    <row r="450" spans="1:9" s="53" customFormat="1" ht="12">
      <c r="A450" s="85" t="s">
        <v>568</v>
      </c>
      <c r="B450" s="59" t="s">
        <v>593</v>
      </c>
      <c r="C450" s="59" t="s">
        <v>430</v>
      </c>
      <c r="D450" s="59" t="s">
        <v>430</v>
      </c>
      <c r="E450" s="59"/>
      <c r="F450" s="60">
        <f t="shared" si="84"/>
        <v>1950</v>
      </c>
      <c r="G450" s="282">
        <f t="shared" si="84"/>
        <v>1948.578</v>
      </c>
      <c r="H450" s="60">
        <f t="shared" si="84"/>
        <v>1950</v>
      </c>
      <c r="I450" s="60">
        <f t="shared" si="83"/>
        <v>100</v>
      </c>
    </row>
    <row r="451" spans="1:9" s="53" customFormat="1" ht="24">
      <c r="A451" s="65" t="s">
        <v>486</v>
      </c>
      <c r="B451" s="66" t="s">
        <v>593</v>
      </c>
      <c r="C451" s="66" t="s">
        <v>430</v>
      </c>
      <c r="D451" s="66" t="s">
        <v>430</v>
      </c>
      <c r="E451" s="66" t="s">
        <v>77</v>
      </c>
      <c r="F451" s="67">
        <f t="shared" si="84"/>
        <v>1950</v>
      </c>
      <c r="G451" s="280">
        <f t="shared" si="84"/>
        <v>1948.578</v>
      </c>
      <c r="H451" s="67">
        <f t="shared" si="84"/>
        <v>1950</v>
      </c>
      <c r="I451" s="67">
        <f t="shared" si="83"/>
        <v>100</v>
      </c>
    </row>
    <row r="452" spans="1:9" s="53" customFormat="1" ht="24">
      <c r="A452" s="65" t="s">
        <v>78</v>
      </c>
      <c r="B452" s="66" t="s">
        <v>593</v>
      </c>
      <c r="C452" s="66" t="s">
        <v>430</v>
      </c>
      <c r="D452" s="66" t="s">
        <v>430</v>
      </c>
      <c r="E452" s="66" t="s">
        <v>79</v>
      </c>
      <c r="F452" s="67">
        <v>1950</v>
      </c>
      <c r="G452" s="280">
        <v>1948.578</v>
      </c>
      <c r="H452" s="67">
        <v>1950</v>
      </c>
      <c r="I452" s="67">
        <f t="shared" si="83"/>
        <v>100</v>
      </c>
    </row>
    <row r="453" spans="1:9" s="53" customFormat="1" ht="12">
      <c r="A453" s="85" t="s">
        <v>235</v>
      </c>
      <c r="B453" s="59" t="s">
        <v>594</v>
      </c>
      <c r="C453" s="59"/>
      <c r="D453" s="59"/>
      <c r="E453" s="59"/>
      <c r="F453" s="78">
        <f t="shared" ref="F453:H456" si="85">F454</f>
        <v>200</v>
      </c>
      <c r="G453" s="273">
        <f t="shared" si="85"/>
        <v>12</v>
      </c>
      <c r="H453" s="78">
        <f t="shared" si="85"/>
        <v>15</v>
      </c>
      <c r="I453" s="60">
        <f t="shared" si="83"/>
        <v>7.5</v>
      </c>
    </row>
    <row r="454" spans="1:9" s="53" customFormat="1" ht="12">
      <c r="A454" s="85" t="s">
        <v>338</v>
      </c>
      <c r="B454" s="59" t="s">
        <v>594</v>
      </c>
      <c r="C454" s="59" t="s">
        <v>430</v>
      </c>
      <c r="D454" s="59"/>
      <c r="E454" s="59"/>
      <c r="F454" s="78">
        <f t="shared" si="85"/>
        <v>200</v>
      </c>
      <c r="G454" s="273">
        <f t="shared" si="85"/>
        <v>12</v>
      </c>
      <c r="H454" s="78">
        <f t="shared" si="85"/>
        <v>15</v>
      </c>
      <c r="I454" s="60">
        <f t="shared" si="83"/>
        <v>7.5</v>
      </c>
    </row>
    <row r="455" spans="1:9" s="53" customFormat="1" ht="12">
      <c r="A455" s="85" t="s">
        <v>568</v>
      </c>
      <c r="B455" s="59" t="s">
        <v>594</v>
      </c>
      <c r="C455" s="59" t="s">
        <v>430</v>
      </c>
      <c r="D455" s="59" t="s">
        <v>430</v>
      </c>
      <c r="E455" s="59"/>
      <c r="F455" s="78">
        <f t="shared" si="85"/>
        <v>200</v>
      </c>
      <c r="G455" s="273">
        <f t="shared" si="85"/>
        <v>12</v>
      </c>
      <c r="H455" s="78">
        <f t="shared" si="85"/>
        <v>15</v>
      </c>
      <c r="I455" s="60">
        <f t="shared" si="83"/>
        <v>7.5</v>
      </c>
    </row>
    <row r="456" spans="1:9" s="53" customFormat="1" ht="24">
      <c r="A456" s="65" t="s">
        <v>486</v>
      </c>
      <c r="B456" s="66" t="s">
        <v>594</v>
      </c>
      <c r="C456" s="66" t="s">
        <v>430</v>
      </c>
      <c r="D456" s="66" t="s">
        <v>430</v>
      </c>
      <c r="E456" s="66" t="s">
        <v>77</v>
      </c>
      <c r="F456" s="79">
        <f t="shared" si="85"/>
        <v>200</v>
      </c>
      <c r="G456" s="272">
        <f t="shared" si="85"/>
        <v>12</v>
      </c>
      <c r="H456" s="79">
        <f t="shared" si="85"/>
        <v>15</v>
      </c>
      <c r="I456" s="67">
        <f t="shared" si="83"/>
        <v>7.5</v>
      </c>
    </row>
    <row r="457" spans="1:9" s="53" customFormat="1" ht="24">
      <c r="A457" s="65" t="s">
        <v>78</v>
      </c>
      <c r="B457" s="66" t="s">
        <v>594</v>
      </c>
      <c r="C457" s="66" t="s">
        <v>430</v>
      </c>
      <c r="D457" s="66" t="s">
        <v>430</v>
      </c>
      <c r="E457" s="66" t="s">
        <v>79</v>
      </c>
      <c r="F457" s="79">
        <v>200</v>
      </c>
      <c r="G457" s="272">
        <v>12</v>
      </c>
      <c r="H457" s="79">
        <f>200-185</f>
        <v>15</v>
      </c>
      <c r="I457" s="67">
        <f t="shared" si="83"/>
        <v>7.5</v>
      </c>
    </row>
    <row r="458" spans="1:9" s="53" customFormat="1" ht="24">
      <c r="A458" s="58" t="s">
        <v>58</v>
      </c>
      <c r="B458" s="59" t="s">
        <v>595</v>
      </c>
      <c r="C458" s="59"/>
      <c r="D458" s="59"/>
      <c r="E458" s="59"/>
      <c r="F458" s="60">
        <f t="shared" ref="F458:H461" si="86">F459</f>
        <v>500</v>
      </c>
      <c r="G458" s="282">
        <f t="shared" si="86"/>
        <v>375</v>
      </c>
      <c r="H458" s="60">
        <f t="shared" si="86"/>
        <v>500</v>
      </c>
      <c r="I458" s="60">
        <f t="shared" si="83"/>
        <v>100</v>
      </c>
    </row>
    <row r="459" spans="1:9" s="53" customFormat="1" ht="12">
      <c r="A459" s="85" t="s">
        <v>338</v>
      </c>
      <c r="B459" s="59" t="s">
        <v>595</v>
      </c>
      <c r="C459" s="59" t="s">
        <v>430</v>
      </c>
      <c r="D459" s="59"/>
      <c r="E459" s="59"/>
      <c r="F459" s="60">
        <f t="shared" si="86"/>
        <v>500</v>
      </c>
      <c r="G459" s="282">
        <f t="shared" si="86"/>
        <v>375</v>
      </c>
      <c r="H459" s="60">
        <f t="shared" si="86"/>
        <v>500</v>
      </c>
      <c r="I459" s="60">
        <f t="shared" si="83"/>
        <v>100</v>
      </c>
    </row>
    <row r="460" spans="1:9" s="53" customFormat="1" ht="12">
      <c r="A460" s="85" t="s">
        <v>568</v>
      </c>
      <c r="B460" s="59" t="s">
        <v>595</v>
      </c>
      <c r="C460" s="59" t="s">
        <v>430</v>
      </c>
      <c r="D460" s="59" t="s">
        <v>430</v>
      </c>
      <c r="E460" s="59"/>
      <c r="F460" s="60">
        <f t="shared" si="86"/>
        <v>500</v>
      </c>
      <c r="G460" s="282">
        <f t="shared" si="86"/>
        <v>375</v>
      </c>
      <c r="H460" s="60">
        <f t="shared" si="86"/>
        <v>500</v>
      </c>
      <c r="I460" s="60">
        <f t="shared" si="83"/>
        <v>100</v>
      </c>
    </row>
    <row r="461" spans="1:9" s="53" customFormat="1" ht="24">
      <c r="A461" s="65" t="s">
        <v>94</v>
      </c>
      <c r="B461" s="66" t="s">
        <v>595</v>
      </c>
      <c r="C461" s="66" t="s">
        <v>430</v>
      </c>
      <c r="D461" s="66" t="s">
        <v>430</v>
      </c>
      <c r="E461" s="66" t="s">
        <v>362</v>
      </c>
      <c r="F461" s="67">
        <f t="shared" si="86"/>
        <v>500</v>
      </c>
      <c r="G461" s="280">
        <f t="shared" si="86"/>
        <v>375</v>
      </c>
      <c r="H461" s="67">
        <f t="shared" si="86"/>
        <v>500</v>
      </c>
      <c r="I461" s="67">
        <f t="shared" si="83"/>
        <v>100</v>
      </c>
    </row>
    <row r="462" spans="1:9" s="53" customFormat="1" ht="36">
      <c r="A462" s="121" t="s">
        <v>669</v>
      </c>
      <c r="B462" s="66" t="s">
        <v>595</v>
      </c>
      <c r="C462" s="66" t="s">
        <v>430</v>
      </c>
      <c r="D462" s="66" t="s">
        <v>430</v>
      </c>
      <c r="E462" s="66" t="s">
        <v>403</v>
      </c>
      <c r="F462" s="67">
        <v>500</v>
      </c>
      <c r="G462" s="280">
        <v>375</v>
      </c>
      <c r="H462" s="67">
        <v>500</v>
      </c>
      <c r="I462" s="67">
        <f t="shared" si="83"/>
        <v>100</v>
      </c>
    </row>
    <row r="463" spans="1:9" s="53" customFormat="1" ht="24">
      <c r="A463" s="224" t="s">
        <v>320</v>
      </c>
      <c r="B463" s="140" t="s">
        <v>228</v>
      </c>
      <c r="C463" s="83"/>
      <c r="D463" s="83"/>
      <c r="E463" s="83"/>
      <c r="F463" s="72">
        <f>F464+F470+F476+F482</f>
        <v>169830.5</v>
      </c>
      <c r="G463" s="72">
        <f>G464+G470+G476+G482</f>
        <v>139592.43033</v>
      </c>
      <c r="H463" s="72">
        <f>H464+H470+H476+H482</f>
        <v>165329.5</v>
      </c>
      <c r="I463" s="72">
        <f t="shared" si="83"/>
        <v>97.34971044659234</v>
      </c>
    </row>
    <row r="464" spans="1:9" s="53" customFormat="1" ht="24">
      <c r="A464" s="58" t="s">
        <v>596</v>
      </c>
      <c r="B464" s="59" t="s">
        <v>597</v>
      </c>
      <c r="C464" s="59"/>
      <c r="D464" s="59"/>
      <c r="E464" s="59"/>
      <c r="F464" s="60">
        <f t="shared" ref="F464:H468" si="87">F465</f>
        <v>77215.3</v>
      </c>
      <c r="G464" s="282">
        <f t="shared" si="87"/>
        <v>66866.993839999996</v>
      </c>
      <c r="H464" s="60">
        <f t="shared" si="87"/>
        <v>77215.3</v>
      </c>
      <c r="I464" s="60">
        <f t="shared" si="83"/>
        <v>100</v>
      </c>
    </row>
    <row r="465" spans="1:9" s="53" customFormat="1" ht="12">
      <c r="A465" s="85" t="s">
        <v>338</v>
      </c>
      <c r="B465" s="59" t="s">
        <v>597</v>
      </c>
      <c r="C465" s="59" t="s">
        <v>430</v>
      </c>
      <c r="D465" s="59"/>
      <c r="E465" s="59"/>
      <c r="F465" s="60">
        <f t="shared" si="87"/>
        <v>77215.3</v>
      </c>
      <c r="G465" s="282">
        <f t="shared" si="87"/>
        <v>66866.993839999996</v>
      </c>
      <c r="H465" s="60">
        <f t="shared" si="87"/>
        <v>77215.3</v>
      </c>
      <c r="I465" s="60">
        <f t="shared" si="83"/>
        <v>100</v>
      </c>
    </row>
    <row r="466" spans="1:9" s="53" customFormat="1" ht="12">
      <c r="A466" s="85" t="s">
        <v>702</v>
      </c>
      <c r="B466" s="59" t="s">
        <v>597</v>
      </c>
      <c r="C466" s="59" t="s">
        <v>430</v>
      </c>
      <c r="D466" s="59" t="s">
        <v>423</v>
      </c>
      <c r="E466" s="59"/>
      <c r="F466" s="60">
        <f t="shared" si="87"/>
        <v>77215.3</v>
      </c>
      <c r="G466" s="282">
        <f t="shared" si="87"/>
        <v>66866.993839999996</v>
      </c>
      <c r="H466" s="60">
        <f t="shared" si="87"/>
        <v>77215.3</v>
      </c>
      <c r="I466" s="60">
        <f t="shared" si="83"/>
        <v>100</v>
      </c>
    </row>
    <row r="467" spans="1:9" s="53" customFormat="1" ht="24">
      <c r="A467" s="87" t="s">
        <v>277</v>
      </c>
      <c r="B467" s="83" t="s">
        <v>597</v>
      </c>
      <c r="C467" s="83" t="s">
        <v>430</v>
      </c>
      <c r="D467" s="83" t="s">
        <v>423</v>
      </c>
      <c r="E467" s="83"/>
      <c r="F467" s="88">
        <f t="shared" si="87"/>
        <v>77215.3</v>
      </c>
      <c r="G467" s="284">
        <f t="shared" si="87"/>
        <v>66866.993839999996</v>
      </c>
      <c r="H467" s="88">
        <f t="shared" si="87"/>
        <v>77215.3</v>
      </c>
      <c r="I467" s="88">
        <f t="shared" si="83"/>
        <v>100</v>
      </c>
    </row>
    <row r="468" spans="1:9" s="53" customFormat="1" ht="24">
      <c r="A468" s="65" t="s">
        <v>94</v>
      </c>
      <c r="B468" s="66" t="s">
        <v>597</v>
      </c>
      <c r="C468" s="66" t="s">
        <v>430</v>
      </c>
      <c r="D468" s="66" t="s">
        <v>423</v>
      </c>
      <c r="E468" s="66" t="s">
        <v>362</v>
      </c>
      <c r="F468" s="67">
        <f t="shared" si="87"/>
        <v>77215.3</v>
      </c>
      <c r="G468" s="280">
        <f t="shared" si="87"/>
        <v>66866.993839999996</v>
      </c>
      <c r="H468" s="67">
        <f t="shared" si="87"/>
        <v>77215.3</v>
      </c>
      <c r="I468" s="67">
        <f t="shared" si="83"/>
        <v>100</v>
      </c>
    </row>
    <row r="469" spans="1:9" s="53" customFormat="1" ht="12">
      <c r="A469" s="65" t="s">
        <v>95</v>
      </c>
      <c r="B469" s="66" t="s">
        <v>597</v>
      </c>
      <c r="C469" s="66" t="s">
        <v>430</v>
      </c>
      <c r="D469" s="66" t="s">
        <v>423</v>
      </c>
      <c r="E469" s="66" t="s">
        <v>371</v>
      </c>
      <c r="F469" s="67">
        <f>90720.3-3150-10355</f>
        <v>77215.3</v>
      </c>
      <c r="G469" s="280">
        <v>66866.993839999996</v>
      </c>
      <c r="H469" s="67">
        <v>77215.3</v>
      </c>
      <c r="I469" s="67">
        <f t="shared" si="83"/>
        <v>100</v>
      </c>
    </row>
    <row r="470" spans="1:9" s="53" customFormat="1" ht="12" customHeight="1">
      <c r="A470" s="58" t="s">
        <v>488</v>
      </c>
      <c r="B470" s="59" t="s">
        <v>238</v>
      </c>
      <c r="C470" s="59"/>
      <c r="D470" s="59"/>
      <c r="E470" s="59"/>
      <c r="F470" s="60">
        <f t="shared" ref="F470:H474" si="88">F471</f>
        <v>35782.199999999997</v>
      </c>
      <c r="G470" s="282">
        <f t="shared" si="88"/>
        <v>25867.655299999999</v>
      </c>
      <c r="H470" s="60">
        <f t="shared" si="88"/>
        <v>31281.199999999997</v>
      </c>
      <c r="I470" s="60">
        <f t="shared" si="83"/>
        <v>87.42111999821141</v>
      </c>
    </row>
    <row r="471" spans="1:9" s="53" customFormat="1" ht="24">
      <c r="A471" s="87" t="s">
        <v>444</v>
      </c>
      <c r="B471" s="83" t="s">
        <v>598</v>
      </c>
      <c r="C471" s="83"/>
      <c r="D471" s="83"/>
      <c r="E471" s="71"/>
      <c r="F471" s="88">
        <f t="shared" si="88"/>
        <v>35782.199999999997</v>
      </c>
      <c r="G471" s="284">
        <f t="shared" si="88"/>
        <v>25867.655299999999</v>
      </c>
      <c r="H471" s="88">
        <f t="shared" si="88"/>
        <v>31281.199999999997</v>
      </c>
      <c r="I471" s="88">
        <f t="shared" si="83"/>
        <v>87.42111999821141</v>
      </c>
    </row>
    <row r="472" spans="1:9" s="53" customFormat="1" ht="12">
      <c r="A472" s="85" t="s">
        <v>585</v>
      </c>
      <c r="B472" s="59" t="s">
        <v>598</v>
      </c>
      <c r="C472" s="59" t="s">
        <v>428</v>
      </c>
      <c r="D472" s="83"/>
      <c r="E472" s="71"/>
      <c r="F472" s="60">
        <f t="shared" si="88"/>
        <v>35782.199999999997</v>
      </c>
      <c r="G472" s="282">
        <f t="shared" si="88"/>
        <v>25867.655299999999</v>
      </c>
      <c r="H472" s="60">
        <f t="shared" si="88"/>
        <v>31281.199999999997</v>
      </c>
      <c r="I472" s="60">
        <f t="shared" si="83"/>
        <v>87.42111999821141</v>
      </c>
    </row>
    <row r="473" spans="1:9" s="53" customFormat="1" ht="12">
      <c r="A473" s="58" t="s">
        <v>342</v>
      </c>
      <c r="B473" s="59" t="s">
        <v>598</v>
      </c>
      <c r="C473" s="59" t="s">
        <v>428</v>
      </c>
      <c r="D473" s="59" t="s">
        <v>69</v>
      </c>
      <c r="E473" s="71"/>
      <c r="F473" s="60">
        <f t="shared" si="88"/>
        <v>35782.199999999997</v>
      </c>
      <c r="G473" s="282">
        <f t="shared" si="88"/>
        <v>25867.655299999999</v>
      </c>
      <c r="H473" s="60">
        <f t="shared" si="88"/>
        <v>31281.199999999997</v>
      </c>
      <c r="I473" s="60">
        <f t="shared" si="83"/>
        <v>87.42111999821141</v>
      </c>
    </row>
    <row r="474" spans="1:9" s="53" customFormat="1" ht="24">
      <c r="A474" s="65" t="s">
        <v>94</v>
      </c>
      <c r="B474" s="66" t="s">
        <v>598</v>
      </c>
      <c r="C474" s="66" t="s">
        <v>428</v>
      </c>
      <c r="D474" s="66" t="s">
        <v>69</v>
      </c>
      <c r="E474" s="66" t="s">
        <v>362</v>
      </c>
      <c r="F474" s="67">
        <f t="shared" si="88"/>
        <v>35782.199999999997</v>
      </c>
      <c r="G474" s="280">
        <f t="shared" si="88"/>
        <v>25867.655299999999</v>
      </c>
      <c r="H474" s="67">
        <f t="shared" si="88"/>
        <v>31281.199999999997</v>
      </c>
      <c r="I474" s="67">
        <f t="shared" si="83"/>
        <v>87.42111999821141</v>
      </c>
    </row>
    <row r="475" spans="1:9" s="53" customFormat="1" ht="12">
      <c r="A475" s="65" t="s">
        <v>95</v>
      </c>
      <c r="B475" s="66" t="s">
        <v>598</v>
      </c>
      <c r="C475" s="66" t="s">
        <v>428</v>
      </c>
      <c r="D475" s="66" t="s">
        <v>69</v>
      </c>
      <c r="E475" s="66" t="s">
        <v>371</v>
      </c>
      <c r="F475" s="67">
        <v>35782.199999999997</v>
      </c>
      <c r="G475" s="280">
        <v>25867.655299999999</v>
      </c>
      <c r="H475" s="67">
        <f>35782.2-4501</f>
        <v>31281.199999999997</v>
      </c>
      <c r="I475" s="67">
        <f t="shared" si="83"/>
        <v>87.42111999821141</v>
      </c>
    </row>
    <row r="476" spans="1:9" s="53" customFormat="1" ht="24">
      <c r="A476" s="58" t="s">
        <v>264</v>
      </c>
      <c r="B476" s="59" t="s">
        <v>236</v>
      </c>
      <c r="C476" s="59"/>
      <c r="D476" s="59"/>
      <c r="E476" s="59"/>
      <c r="F476" s="60">
        <f t="shared" ref="F476:H480" si="89">F477</f>
        <v>19626</v>
      </c>
      <c r="G476" s="282">
        <f t="shared" si="89"/>
        <v>15854.48119</v>
      </c>
      <c r="H476" s="60">
        <f t="shared" si="89"/>
        <v>19626</v>
      </c>
      <c r="I476" s="60">
        <f t="shared" si="83"/>
        <v>100</v>
      </c>
    </row>
    <row r="477" spans="1:9" s="53" customFormat="1" ht="24">
      <c r="A477" s="87" t="s">
        <v>375</v>
      </c>
      <c r="B477" s="83" t="s">
        <v>599</v>
      </c>
      <c r="C477" s="83"/>
      <c r="D477" s="83"/>
      <c r="E477" s="83"/>
      <c r="F477" s="88">
        <f t="shared" si="89"/>
        <v>19626</v>
      </c>
      <c r="G477" s="284">
        <f t="shared" si="89"/>
        <v>15854.48119</v>
      </c>
      <c r="H477" s="88">
        <f t="shared" si="89"/>
        <v>19626</v>
      </c>
      <c r="I477" s="88">
        <f t="shared" si="83"/>
        <v>100</v>
      </c>
    </row>
    <row r="478" spans="1:9" s="53" customFormat="1" ht="12">
      <c r="A478" s="85" t="s">
        <v>585</v>
      </c>
      <c r="B478" s="59" t="s">
        <v>599</v>
      </c>
      <c r="C478" s="59" t="s">
        <v>428</v>
      </c>
      <c r="D478" s="83"/>
      <c r="E478" s="83"/>
      <c r="F478" s="60">
        <f t="shared" si="89"/>
        <v>19626</v>
      </c>
      <c r="G478" s="282">
        <f t="shared" si="89"/>
        <v>15854.48119</v>
      </c>
      <c r="H478" s="60">
        <f t="shared" si="89"/>
        <v>19626</v>
      </c>
      <c r="I478" s="60">
        <f t="shared" si="83"/>
        <v>100</v>
      </c>
    </row>
    <row r="479" spans="1:9" s="53" customFormat="1" ht="12">
      <c r="A479" s="58" t="s">
        <v>342</v>
      </c>
      <c r="B479" s="59" t="s">
        <v>599</v>
      </c>
      <c r="C479" s="59" t="s">
        <v>428</v>
      </c>
      <c r="D479" s="59" t="s">
        <v>69</v>
      </c>
      <c r="E479" s="83"/>
      <c r="F479" s="60">
        <f t="shared" si="89"/>
        <v>19626</v>
      </c>
      <c r="G479" s="282">
        <f t="shared" si="89"/>
        <v>15854.48119</v>
      </c>
      <c r="H479" s="60">
        <f t="shared" si="89"/>
        <v>19626</v>
      </c>
      <c r="I479" s="60">
        <f t="shared" si="83"/>
        <v>100</v>
      </c>
    </row>
    <row r="480" spans="1:9" s="53" customFormat="1" ht="24">
      <c r="A480" s="65" t="s">
        <v>94</v>
      </c>
      <c r="B480" s="66" t="s">
        <v>599</v>
      </c>
      <c r="C480" s="66" t="s">
        <v>428</v>
      </c>
      <c r="D480" s="66" t="s">
        <v>69</v>
      </c>
      <c r="E480" s="66" t="s">
        <v>362</v>
      </c>
      <c r="F480" s="67">
        <f t="shared" si="89"/>
        <v>19626</v>
      </c>
      <c r="G480" s="280">
        <f t="shared" si="89"/>
        <v>15854.48119</v>
      </c>
      <c r="H480" s="67">
        <f t="shared" si="89"/>
        <v>19626</v>
      </c>
      <c r="I480" s="67">
        <f t="shared" si="83"/>
        <v>100</v>
      </c>
    </row>
    <row r="481" spans="1:9" s="53" customFormat="1" ht="12">
      <c r="A481" s="65" t="s">
        <v>95</v>
      </c>
      <c r="B481" s="66" t="s">
        <v>599</v>
      </c>
      <c r="C481" s="66" t="s">
        <v>428</v>
      </c>
      <c r="D481" s="66" t="s">
        <v>69</v>
      </c>
      <c r="E481" s="66" t="s">
        <v>371</v>
      </c>
      <c r="F481" s="67">
        <v>19626</v>
      </c>
      <c r="G481" s="280">
        <v>15854.48119</v>
      </c>
      <c r="H481" s="67">
        <v>19626</v>
      </c>
      <c r="I481" s="67">
        <f t="shared" si="83"/>
        <v>100</v>
      </c>
    </row>
    <row r="482" spans="1:9" s="53" customFormat="1" ht="24">
      <c r="A482" s="70" t="s">
        <v>28</v>
      </c>
      <c r="B482" s="71" t="s">
        <v>237</v>
      </c>
      <c r="C482" s="71"/>
      <c r="D482" s="71"/>
      <c r="E482" s="71"/>
      <c r="F482" s="80">
        <f t="shared" ref="F482:H485" si="90">F483</f>
        <v>37207</v>
      </c>
      <c r="G482" s="299">
        <f t="shared" si="90"/>
        <v>31003.3</v>
      </c>
      <c r="H482" s="80">
        <f t="shared" si="90"/>
        <v>37207</v>
      </c>
      <c r="I482" s="72">
        <f t="shared" si="83"/>
        <v>100</v>
      </c>
    </row>
    <row r="483" spans="1:9" s="53" customFormat="1" ht="12">
      <c r="A483" s="85" t="s">
        <v>585</v>
      </c>
      <c r="B483" s="59" t="s">
        <v>237</v>
      </c>
      <c r="C483" s="59" t="s">
        <v>428</v>
      </c>
      <c r="D483" s="66"/>
      <c r="E483" s="59"/>
      <c r="F483" s="78">
        <f t="shared" si="90"/>
        <v>37207</v>
      </c>
      <c r="G483" s="273">
        <f t="shared" si="90"/>
        <v>31003.3</v>
      </c>
      <c r="H483" s="78">
        <f t="shared" si="90"/>
        <v>37207</v>
      </c>
      <c r="I483" s="60">
        <f t="shared" si="83"/>
        <v>100</v>
      </c>
    </row>
    <row r="484" spans="1:9" s="53" customFormat="1" ht="12">
      <c r="A484" s="58" t="s">
        <v>342</v>
      </c>
      <c r="B484" s="59" t="s">
        <v>237</v>
      </c>
      <c r="C484" s="59" t="s">
        <v>428</v>
      </c>
      <c r="D484" s="59" t="s">
        <v>69</v>
      </c>
      <c r="E484" s="59"/>
      <c r="F484" s="78">
        <f t="shared" si="90"/>
        <v>37207</v>
      </c>
      <c r="G484" s="273">
        <f t="shared" si="90"/>
        <v>31003.3</v>
      </c>
      <c r="H484" s="78">
        <f t="shared" si="90"/>
        <v>37207</v>
      </c>
      <c r="I484" s="60">
        <f t="shared" si="83"/>
        <v>100</v>
      </c>
    </row>
    <row r="485" spans="1:9" s="53" customFormat="1" ht="24">
      <c r="A485" s="65" t="s">
        <v>94</v>
      </c>
      <c r="B485" s="66" t="s">
        <v>237</v>
      </c>
      <c r="C485" s="66" t="s">
        <v>428</v>
      </c>
      <c r="D485" s="66" t="s">
        <v>69</v>
      </c>
      <c r="E485" s="66" t="s">
        <v>362</v>
      </c>
      <c r="F485" s="79">
        <f t="shared" si="90"/>
        <v>37207</v>
      </c>
      <c r="G485" s="272">
        <f t="shared" si="90"/>
        <v>31003.3</v>
      </c>
      <c r="H485" s="79">
        <f t="shared" si="90"/>
        <v>37207</v>
      </c>
      <c r="I485" s="67">
        <f t="shared" si="83"/>
        <v>100</v>
      </c>
    </row>
    <row r="486" spans="1:9" s="53" customFormat="1" ht="12">
      <c r="A486" s="65" t="s">
        <v>95</v>
      </c>
      <c r="B486" s="66" t="s">
        <v>237</v>
      </c>
      <c r="C486" s="66" t="s">
        <v>428</v>
      </c>
      <c r="D486" s="66" t="s">
        <v>69</v>
      </c>
      <c r="E486" s="66" t="s">
        <v>371</v>
      </c>
      <c r="F486" s="79">
        <f>36539+668</f>
        <v>37207</v>
      </c>
      <c r="G486" s="272">
        <v>31003.3</v>
      </c>
      <c r="H486" s="79">
        <v>37207</v>
      </c>
      <c r="I486" s="67">
        <f t="shared" si="83"/>
        <v>100</v>
      </c>
    </row>
    <row r="487" spans="1:9" s="53" customFormat="1" ht="24">
      <c r="A487" s="70" t="s">
        <v>239</v>
      </c>
      <c r="B487" s="71" t="s">
        <v>241</v>
      </c>
      <c r="C487" s="71"/>
      <c r="D487" s="71"/>
      <c r="E487" s="71"/>
      <c r="F487" s="72">
        <f t="shared" ref="F487:H488" si="91">F488</f>
        <v>4995</v>
      </c>
      <c r="G487" s="281">
        <f t="shared" si="91"/>
        <v>3769.2465000000002</v>
      </c>
      <c r="H487" s="72">
        <f t="shared" si="91"/>
        <v>4995</v>
      </c>
      <c r="I487" s="72">
        <f t="shared" si="83"/>
        <v>100</v>
      </c>
    </row>
    <row r="488" spans="1:9" s="53" customFormat="1" ht="24">
      <c r="A488" s="58" t="s">
        <v>240</v>
      </c>
      <c r="B488" s="59" t="s">
        <v>241</v>
      </c>
      <c r="C488" s="59"/>
      <c r="D488" s="59"/>
      <c r="E488" s="59"/>
      <c r="F488" s="60">
        <f t="shared" si="91"/>
        <v>4995</v>
      </c>
      <c r="G488" s="282">
        <f t="shared" si="91"/>
        <v>3769.2465000000002</v>
      </c>
      <c r="H488" s="60">
        <f t="shared" si="91"/>
        <v>4995</v>
      </c>
      <c r="I488" s="60">
        <f t="shared" si="83"/>
        <v>100</v>
      </c>
    </row>
    <row r="489" spans="1:9" s="53" customFormat="1" ht="36">
      <c r="A489" s="70" t="s">
        <v>364</v>
      </c>
      <c r="B489" s="83" t="s">
        <v>241</v>
      </c>
      <c r="C489" s="71"/>
      <c r="D489" s="71"/>
      <c r="E489" s="71"/>
      <c r="F489" s="88">
        <f>F490+F495</f>
        <v>4995</v>
      </c>
      <c r="G489" s="284">
        <f>G490+G495</f>
        <v>3769.2465000000002</v>
      </c>
      <c r="H489" s="88">
        <f>H490+H495</f>
        <v>4995</v>
      </c>
      <c r="I489" s="88">
        <f t="shared" si="83"/>
        <v>100</v>
      </c>
    </row>
    <row r="490" spans="1:9" s="53" customFormat="1" ht="24">
      <c r="A490" s="73" t="s">
        <v>347</v>
      </c>
      <c r="B490" s="59" t="s">
        <v>65</v>
      </c>
      <c r="C490" s="59"/>
      <c r="D490" s="59"/>
      <c r="E490" s="59"/>
      <c r="F490" s="60">
        <f t="shared" ref="F490:H493" si="92">F491</f>
        <v>4495</v>
      </c>
      <c r="G490" s="282">
        <f t="shared" si="92"/>
        <v>3297.7153800000001</v>
      </c>
      <c r="H490" s="60">
        <f t="shared" si="92"/>
        <v>4495</v>
      </c>
      <c r="I490" s="60">
        <f t="shared" si="83"/>
        <v>100</v>
      </c>
    </row>
    <row r="491" spans="1:9" s="53" customFormat="1" ht="12">
      <c r="A491" s="58" t="s">
        <v>585</v>
      </c>
      <c r="B491" s="59" t="s">
        <v>65</v>
      </c>
      <c r="C491" s="59" t="s">
        <v>428</v>
      </c>
      <c r="D491" s="83"/>
      <c r="E491" s="59"/>
      <c r="F491" s="60">
        <f t="shared" si="92"/>
        <v>4495</v>
      </c>
      <c r="G491" s="282">
        <f t="shared" si="92"/>
        <v>3297.7153800000001</v>
      </c>
      <c r="H491" s="60">
        <f t="shared" si="92"/>
        <v>4495</v>
      </c>
      <c r="I491" s="60">
        <f t="shared" si="83"/>
        <v>100</v>
      </c>
    </row>
    <row r="492" spans="1:9" s="53" customFormat="1" ht="12">
      <c r="A492" s="58" t="s">
        <v>408</v>
      </c>
      <c r="B492" s="59" t="s">
        <v>65</v>
      </c>
      <c r="C492" s="59" t="s">
        <v>428</v>
      </c>
      <c r="D492" s="59" t="s">
        <v>71</v>
      </c>
      <c r="E492" s="59"/>
      <c r="F492" s="60">
        <f t="shared" si="92"/>
        <v>4495</v>
      </c>
      <c r="G492" s="282">
        <f t="shared" si="92"/>
        <v>3297.7153800000001</v>
      </c>
      <c r="H492" s="60">
        <f t="shared" si="92"/>
        <v>4495</v>
      </c>
      <c r="I492" s="60">
        <f t="shared" si="83"/>
        <v>100</v>
      </c>
    </row>
    <row r="493" spans="1:9" s="53" customFormat="1" ht="36">
      <c r="A493" s="65" t="s">
        <v>72</v>
      </c>
      <c r="B493" s="66" t="s">
        <v>65</v>
      </c>
      <c r="C493" s="66" t="s">
        <v>428</v>
      </c>
      <c r="D493" s="66" t="s">
        <v>71</v>
      </c>
      <c r="E493" s="66" t="s">
        <v>73</v>
      </c>
      <c r="F493" s="67">
        <f t="shared" si="92"/>
        <v>4495</v>
      </c>
      <c r="G493" s="280">
        <f t="shared" si="92"/>
        <v>3297.7153800000001</v>
      </c>
      <c r="H493" s="67">
        <f t="shared" si="92"/>
        <v>4495</v>
      </c>
      <c r="I493" s="67">
        <f t="shared" si="83"/>
        <v>100</v>
      </c>
    </row>
    <row r="494" spans="1:9" s="53" customFormat="1" ht="12">
      <c r="A494" s="65" t="s">
        <v>74</v>
      </c>
      <c r="B494" s="66" t="s">
        <v>65</v>
      </c>
      <c r="C494" s="66" t="s">
        <v>428</v>
      </c>
      <c r="D494" s="66" t="s">
        <v>71</v>
      </c>
      <c r="E494" s="66" t="s">
        <v>75</v>
      </c>
      <c r="F494" s="67">
        <f>3850+645</f>
        <v>4495</v>
      </c>
      <c r="G494" s="280">
        <v>3297.7153800000001</v>
      </c>
      <c r="H494" s="67">
        <v>4495</v>
      </c>
      <c r="I494" s="67">
        <f t="shared" si="83"/>
        <v>100</v>
      </c>
    </row>
    <row r="495" spans="1:9" s="53" customFormat="1" ht="12">
      <c r="A495" s="58" t="s">
        <v>76</v>
      </c>
      <c r="B495" s="59" t="s">
        <v>66</v>
      </c>
      <c r="C495" s="59"/>
      <c r="D495" s="59"/>
      <c r="E495" s="59"/>
      <c r="F495" s="60">
        <f t="shared" ref="F495:H496" si="93">F496</f>
        <v>500</v>
      </c>
      <c r="G495" s="282">
        <f t="shared" si="93"/>
        <v>471.53111999999999</v>
      </c>
      <c r="H495" s="60">
        <f t="shared" si="93"/>
        <v>500</v>
      </c>
      <c r="I495" s="60">
        <f t="shared" si="83"/>
        <v>100</v>
      </c>
    </row>
    <row r="496" spans="1:9" s="53" customFormat="1" ht="12">
      <c r="A496" s="58" t="s">
        <v>585</v>
      </c>
      <c r="B496" s="59" t="s">
        <v>66</v>
      </c>
      <c r="C496" s="59" t="s">
        <v>428</v>
      </c>
      <c r="D496" s="83"/>
      <c r="E496" s="59"/>
      <c r="F496" s="60">
        <f t="shared" si="93"/>
        <v>500</v>
      </c>
      <c r="G496" s="282">
        <f t="shared" si="93"/>
        <v>471.53111999999999</v>
      </c>
      <c r="H496" s="60">
        <f t="shared" si="93"/>
        <v>500</v>
      </c>
      <c r="I496" s="60">
        <f t="shared" si="83"/>
        <v>100</v>
      </c>
    </row>
    <row r="497" spans="1:9" s="53" customFormat="1" ht="12">
      <c r="A497" s="58" t="s">
        <v>408</v>
      </c>
      <c r="B497" s="59" t="s">
        <v>66</v>
      </c>
      <c r="C497" s="59" t="s">
        <v>428</v>
      </c>
      <c r="D497" s="59" t="s">
        <v>71</v>
      </c>
      <c r="E497" s="59"/>
      <c r="F497" s="60">
        <f>F498+F500</f>
        <v>500</v>
      </c>
      <c r="G497" s="282">
        <f>G498+G500</f>
        <v>471.53111999999999</v>
      </c>
      <c r="H497" s="60">
        <f>H498+H500</f>
        <v>500</v>
      </c>
      <c r="I497" s="60">
        <f t="shared" si="83"/>
        <v>100</v>
      </c>
    </row>
    <row r="498" spans="1:9" s="53" customFormat="1" ht="24">
      <c r="A498" s="65" t="s">
        <v>486</v>
      </c>
      <c r="B498" s="66" t="s">
        <v>66</v>
      </c>
      <c r="C498" s="66" t="s">
        <v>428</v>
      </c>
      <c r="D498" s="66" t="s">
        <v>71</v>
      </c>
      <c r="E498" s="66" t="s">
        <v>77</v>
      </c>
      <c r="F498" s="67">
        <f>F499</f>
        <v>495</v>
      </c>
      <c r="G498" s="280">
        <f>G499</f>
        <v>471.24829</v>
      </c>
      <c r="H498" s="67">
        <f>H499</f>
        <v>495</v>
      </c>
      <c r="I498" s="67">
        <f t="shared" si="83"/>
        <v>100</v>
      </c>
    </row>
    <row r="499" spans="1:9" s="53" customFormat="1" ht="24">
      <c r="A499" s="65" t="s">
        <v>78</v>
      </c>
      <c r="B499" s="66" t="s">
        <v>66</v>
      </c>
      <c r="C499" s="66" t="s">
        <v>428</v>
      </c>
      <c r="D499" s="66" t="s">
        <v>71</v>
      </c>
      <c r="E499" s="66" t="s">
        <v>79</v>
      </c>
      <c r="F499" s="67">
        <f>205+250+40</f>
        <v>495</v>
      </c>
      <c r="G499" s="280">
        <v>471.24829</v>
      </c>
      <c r="H499" s="67">
        <v>495</v>
      </c>
      <c r="I499" s="67">
        <f t="shared" si="83"/>
        <v>100</v>
      </c>
    </row>
    <row r="500" spans="1:9" s="53" customFormat="1" ht="12">
      <c r="A500" s="65" t="s">
        <v>80</v>
      </c>
      <c r="B500" s="66" t="s">
        <v>66</v>
      </c>
      <c r="C500" s="66" t="s">
        <v>428</v>
      </c>
      <c r="D500" s="66" t="s">
        <v>71</v>
      </c>
      <c r="E500" s="66" t="s">
        <v>81</v>
      </c>
      <c r="F500" s="67">
        <f>F501</f>
        <v>5</v>
      </c>
      <c r="G500" s="280">
        <f>G501</f>
        <v>0.28283000000000003</v>
      </c>
      <c r="H500" s="67">
        <f>H501</f>
        <v>5</v>
      </c>
      <c r="I500" s="67">
        <f t="shared" si="83"/>
        <v>100</v>
      </c>
    </row>
    <row r="501" spans="1:9" s="53" customFormat="1" ht="12">
      <c r="A501" s="65" t="s">
        <v>445</v>
      </c>
      <c r="B501" s="66" t="s">
        <v>66</v>
      </c>
      <c r="C501" s="66" t="s">
        <v>428</v>
      </c>
      <c r="D501" s="66" t="s">
        <v>71</v>
      </c>
      <c r="E501" s="66" t="s">
        <v>82</v>
      </c>
      <c r="F501" s="67">
        <f>45-40</f>
        <v>5</v>
      </c>
      <c r="G501" s="280">
        <v>0.28283000000000003</v>
      </c>
      <c r="H501" s="67">
        <v>5</v>
      </c>
      <c r="I501" s="67">
        <f t="shared" si="83"/>
        <v>100</v>
      </c>
    </row>
    <row r="502" spans="1:9" s="53" customFormat="1" ht="27">
      <c r="A502" s="138" t="s">
        <v>622</v>
      </c>
      <c r="B502" s="137" t="s">
        <v>215</v>
      </c>
      <c r="C502" s="137"/>
      <c r="D502" s="137"/>
      <c r="E502" s="137"/>
      <c r="F502" s="136">
        <f>F503+F514+F520+F533+F541+F557+F563</f>
        <v>471243.0833</v>
      </c>
      <c r="G502" s="283">
        <f>G503+G514+G520+G533+G541+G557+G563</f>
        <v>227048.33704000001</v>
      </c>
      <c r="H502" s="136">
        <f>H503+H514+H520+H533+H541+H557+H563</f>
        <v>427152.61424999998</v>
      </c>
      <c r="I502" s="136">
        <f t="shared" si="83"/>
        <v>90.643794972809943</v>
      </c>
    </row>
    <row r="503" spans="1:9" s="53" customFormat="1" ht="24">
      <c r="A503" s="58" t="s">
        <v>625</v>
      </c>
      <c r="B503" s="59" t="s">
        <v>217</v>
      </c>
      <c r="C503" s="59"/>
      <c r="D503" s="59"/>
      <c r="E503" s="59"/>
      <c r="F503" s="60">
        <f>F504+F509</f>
        <v>4000</v>
      </c>
      <c r="G503" s="282">
        <f>G504+G509</f>
        <v>665.99599999999998</v>
      </c>
      <c r="H503" s="60">
        <f>H504+H509</f>
        <v>1000</v>
      </c>
      <c r="I503" s="60">
        <f t="shared" si="83"/>
        <v>25</v>
      </c>
    </row>
    <row r="504" spans="1:9" s="53" customFormat="1" ht="12">
      <c r="A504" s="70" t="s">
        <v>626</v>
      </c>
      <c r="B504" s="71" t="s">
        <v>627</v>
      </c>
      <c r="C504" s="71"/>
      <c r="D504" s="71"/>
      <c r="E504" s="71"/>
      <c r="F504" s="80">
        <f t="shared" ref="F504:H507" si="94">F505</f>
        <v>2000</v>
      </c>
      <c r="G504" s="299">
        <f t="shared" si="94"/>
        <v>0</v>
      </c>
      <c r="H504" s="80">
        <f t="shared" si="94"/>
        <v>0</v>
      </c>
      <c r="I504" s="80">
        <f t="shared" si="83"/>
        <v>0</v>
      </c>
    </row>
    <row r="505" spans="1:9" s="53" customFormat="1" ht="12">
      <c r="A505" s="58" t="s">
        <v>333</v>
      </c>
      <c r="B505" s="59" t="s">
        <v>627</v>
      </c>
      <c r="C505" s="59" t="s">
        <v>376</v>
      </c>
      <c r="D505" s="59"/>
      <c r="E505" s="59"/>
      <c r="F505" s="78">
        <f t="shared" si="94"/>
        <v>2000</v>
      </c>
      <c r="G505" s="273">
        <f t="shared" si="94"/>
        <v>0</v>
      </c>
      <c r="H505" s="78">
        <f t="shared" si="94"/>
        <v>0</v>
      </c>
      <c r="I505" s="78">
        <f t="shared" si="83"/>
        <v>0</v>
      </c>
    </row>
    <row r="506" spans="1:9" s="53" customFormat="1" ht="12">
      <c r="A506" s="58" t="s">
        <v>701</v>
      </c>
      <c r="B506" s="59" t="s">
        <v>627</v>
      </c>
      <c r="C506" s="59" t="s">
        <v>376</v>
      </c>
      <c r="D506" s="59" t="s">
        <v>69</v>
      </c>
      <c r="E506" s="59"/>
      <c r="F506" s="78">
        <f t="shared" si="94"/>
        <v>2000</v>
      </c>
      <c r="G506" s="273">
        <f t="shared" si="94"/>
        <v>0</v>
      </c>
      <c r="H506" s="78">
        <f t="shared" si="94"/>
        <v>0</v>
      </c>
      <c r="I506" s="78">
        <f t="shared" si="83"/>
        <v>0</v>
      </c>
    </row>
    <row r="507" spans="1:9" s="53" customFormat="1" ht="24">
      <c r="A507" s="65" t="s">
        <v>486</v>
      </c>
      <c r="B507" s="66" t="s">
        <v>627</v>
      </c>
      <c r="C507" s="66" t="s">
        <v>376</v>
      </c>
      <c r="D507" s="66" t="s">
        <v>69</v>
      </c>
      <c r="E507" s="66" t="s">
        <v>77</v>
      </c>
      <c r="F507" s="79">
        <f t="shared" si="94"/>
        <v>2000</v>
      </c>
      <c r="G507" s="272">
        <f t="shared" si="94"/>
        <v>0</v>
      </c>
      <c r="H507" s="79">
        <f t="shared" si="94"/>
        <v>0</v>
      </c>
      <c r="I507" s="79">
        <f t="shared" si="83"/>
        <v>0</v>
      </c>
    </row>
    <row r="508" spans="1:9" s="53" customFormat="1" ht="24">
      <c r="A508" s="65" t="s">
        <v>78</v>
      </c>
      <c r="B508" s="66" t="s">
        <v>627</v>
      </c>
      <c r="C508" s="66" t="s">
        <v>376</v>
      </c>
      <c r="D508" s="66" t="s">
        <v>69</v>
      </c>
      <c r="E508" s="66" t="s">
        <v>79</v>
      </c>
      <c r="F508" s="79">
        <v>2000</v>
      </c>
      <c r="G508" s="272">
        <v>0</v>
      </c>
      <c r="H508" s="79">
        <f>2000-2000</f>
        <v>0</v>
      </c>
      <c r="I508" s="79">
        <f t="shared" si="83"/>
        <v>0</v>
      </c>
    </row>
    <row r="509" spans="1:9" s="53" customFormat="1" ht="12">
      <c r="A509" s="70" t="s">
        <v>218</v>
      </c>
      <c r="B509" s="71" t="s">
        <v>628</v>
      </c>
      <c r="C509" s="71"/>
      <c r="D509" s="71"/>
      <c r="E509" s="71"/>
      <c r="F509" s="80">
        <f t="shared" ref="F509:H512" si="95">F510</f>
        <v>2000</v>
      </c>
      <c r="G509" s="299">
        <f t="shared" si="95"/>
        <v>665.99599999999998</v>
      </c>
      <c r="H509" s="80">
        <f t="shared" si="95"/>
        <v>1000</v>
      </c>
      <c r="I509" s="72">
        <f t="shared" si="83"/>
        <v>50</v>
      </c>
    </row>
    <row r="510" spans="1:9" s="53" customFormat="1" ht="12">
      <c r="A510" s="58" t="s">
        <v>333</v>
      </c>
      <c r="B510" s="59" t="s">
        <v>628</v>
      </c>
      <c r="C510" s="59" t="s">
        <v>376</v>
      </c>
      <c r="D510" s="59"/>
      <c r="E510" s="59"/>
      <c r="F510" s="78">
        <f t="shared" si="95"/>
        <v>2000</v>
      </c>
      <c r="G510" s="273">
        <f t="shared" si="95"/>
        <v>665.99599999999998</v>
      </c>
      <c r="H510" s="78">
        <f t="shared" si="95"/>
        <v>1000</v>
      </c>
      <c r="I510" s="60">
        <f t="shared" si="83"/>
        <v>50</v>
      </c>
    </row>
    <row r="511" spans="1:9" s="53" customFormat="1" ht="12">
      <c r="A511" s="58" t="s">
        <v>701</v>
      </c>
      <c r="B511" s="59" t="s">
        <v>628</v>
      </c>
      <c r="C511" s="59" t="s">
        <v>376</v>
      </c>
      <c r="D511" s="59" t="s">
        <v>69</v>
      </c>
      <c r="E511" s="59"/>
      <c r="F511" s="78">
        <f t="shared" si="95"/>
        <v>2000</v>
      </c>
      <c r="G511" s="273">
        <f t="shared" si="95"/>
        <v>665.99599999999998</v>
      </c>
      <c r="H511" s="78">
        <f t="shared" si="95"/>
        <v>1000</v>
      </c>
      <c r="I511" s="60">
        <f t="shared" ref="I511:I574" si="96">H511/F511*100</f>
        <v>50</v>
      </c>
    </row>
    <row r="512" spans="1:9" s="53" customFormat="1" ht="24">
      <c r="A512" s="65" t="s">
        <v>486</v>
      </c>
      <c r="B512" s="66" t="s">
        <v>628</v>
      </c>
      <c r="C512" s="66" t="s">
        <v>376</v>
      </c>
      <c r="D512" s="66" t="s">
        <v>69</v>
      </c>
      <c r="E512" s="66" t="s">
        <v>77</v>
      </c>
      <c r="F512" s="79">
        <f t="shared" si="95"/>
        <v>2000</v>
      </c>
      <c r="G512" s="272">
        <f t="shared" si="95"/>
        <v>665.99599999999998</v>
      </c>
      <c r="H512" s="79">
        <f t="shared" si="95"/>
        <v>1000</v>
      </c>
      <c r="I512" s="67">
        <f t="shared" si="96"/>
        <v>50</v>
      </c>
    </row>
    <row r="513" spans="1:9" s="53" customFormat="1" ht="24">
      <c r="A513" s="65" t="s">
        <v>78</v>
      </c>
      <c r="B513" s="66" t="s">
        <v>628</v>
      </c>
      <c r="C513" s="66" t="s">
        <v>376</v>
      </c>
      <c r="D513" s="66" t="s">
        <v>69</v>
      </c>
      <c r="E513" s="66" t="s">
        <v>79</v>
      </c>
      <c r="F513" s="79">
        <v>2000</v>
      </c>
      <c r="G513" s="272">
        <v>665.99599999999998</v>
      </c>
      <c r="H513" s="79">
        <f>2000-1000</f>
        <v>1000</v>
      </c>
      <c r="I513" s="67">
        <f t="shared" si="96"/>
        <v>50</v>
      </c>
    </row>
    <row r="514" spans="1:9" s="53" customFormat="1" ht="12">
      <c r="A514" s="58" t="s">
        <v>498</v>
      </c>
      <c r="B514" s="59" t="s">
        <v>216</v>
      </c>
      <c r="C514" s="59"/>
      <c r="D514" s="59"/>
      <c r="E514" s="66"/>
      <c r="F514" s="60">
        <f t="shared" ref="F514:H518" si="97">F515</f>
        <v>2000</v>
      </c>
      <c r="G514" s="282">
        <f t="shared" si="97"/>
        <v>1604.6759999999999</v>
      </c>
      <c r="H514" s="60">
        <f t="shared" si="97"/>
        <v>2000</v>
      </c>
      <c r="I514" s="60">
        <f t="shared" si="96"/>
        <v>100</v>
      </c>
    </row>
    <row r="515" spans="1:9" s="53" customFormat="1" ht="12">
      <c r="A515" s="84" t="s">
        <v>623</v>
      </c>
      <c r="B515" s="77" t="s">
        <v>624</v>
      </c>
      <c r="C515" s="71"/>
      <c r="D515" s="71"/>
      <c r="E515" s="71"/>
      <c r="F515" s="72">
        <f t="shared" si="97"/>
        <v>2000</v>
      </c>
      <c r="G515" s="281">
        <f t="shared" si="97"/>
        <v>1604.6759999999999</v>
      </c>
      <c r="H515" s="72">
        <f t="shared" si="97"/>
        <v>2000</v>
      </c>
      <c r="I515" s="72">
        <f t="shared" si="96"/>
        <v>100</v>
      </c>
    </row>
    <row r="516" spans="1:9" s="53" customFormat="1" ht="12">
      <c r="A516" s="97" t="s">
        <v>321</v>
      </c>
      <c r="B516" s="120" t="s">
        <v>624</v>
      </c>
      <c r="C516" s="59" t="s">
        <v>71</v>
      </c>
      <c r="D516" s="59"/>
      <c r="E516" s="59"/>
      <c r="F516" s="60">
        <f t="shared" si="97"/>
        <v>2000</v>
      </c>
      <c r="G516" s="282">
        <f t="shared" si="97"/>
        <v>1604.6759999999999</v>
      </c>
      <c r="H516" s="60">
        <f t="shared" si="97"/>
        <v>2000</v>
      </c>
      <c r="I516" s="60">
        <f t="shared" si="96"/>
        <v>100</v>
      </c>
    </row>
    <row r="517" spans="1:9" s="53" customFormat="1" ht="12">
      <c r="A517" s="97" t="s">
        <v>699</v>
      </c>
      <c r="B517" s="120" t="s">
        <v>624</v>
      </c>
      <c r="C517" s="59" t="s">
        <v>71</v>
      </c>
      <c r="D517" s="59" t="s">
        <v>429</v>
      </c>
      <c r="E517" s="59"/>
      <c r="F517" s="60">
        <f t="shared" si="97"/>
        <v>2000</v>
      </c>
      <c r="G517" s="282">
        <f t="shared" si="97"/>
        <v>1604.6759999999999</v>
      </c>
      <c r="H517" s="60">
        <f t="shared" si="97"/>
        <v>2000</v>
      </c>
      <c r="I517" s="60">
        <f t="shared" si="96"/>
        <v>100</v>
      </c>
    </row>
    <row r="518" spans="1:9" s="53" customFormat="1" ht="24">
      <c r="A518" s="65" t="s">
        <v>486</v>
      </c>
      <c r="B518" s="66" t="s">
        <v>624</v>
      </c>
      <c r="C518" s="66" t="s">
        <v>71</v>
      </c>
      <c r="D518" s="66" t="s">
        <v>429</v>
      </c>
      <c r="E518" s="66" t="s">
        <v>77</v>
      </c>
      <c r="F518" s="67">
        <f t="shared" si="97"/>
        <v>2000</v>
      </c>
      <c r="G518" s="280">
        <f t="shared" si="97"/>
        <v>1604.6759999999999</v>
      </c>
      <c r="H518" s="67">
        <f t="shared" si="97"/>
        <v>2000</v>
      </c>
      <c r="I518" s="67">
        <f t="shared" si="96"/>
        <v>100</v>
      </c>
    </row>
    <row r="519" spans="1:9" s="53" customFormat="1" ht="24">
      <c r="A519" s="65" t="s">
        <v>78</v>
      </c>
      <c r="B519" s="66" t="s">
        <v>624</v>
      </c>
      <c r="C519" s="66" t="s">
        <v>71</v>
      </c>
      <c r="D519" s="66" t="s">
        <v>429</v>
      </c>
      <c r="E519" s="66" t="s">
        <v>79</v>
      </c>
      <c r="F519" s="67">
        <v>2000</v>
      </c>
      <c r="G519" s="280">
        <v>1604.6759999999999</v>
      </c>
      <c r="H519" s="67">
        <v>2000</v>
      </c>
      <c r="I519" s="67">
        <f t="shared" si="96"/>
        <v>100</v>
      </c>
    </row>
    <row r="520" spans="1:9" s="53" customFormat="1" ht="27">
      <c r="A520" s="69" t="s">
        <v>636</v>
      </c>
      <c r="B520" s="61" t="s">
        <v>220</v>
      </c>
      <c r="C520" s="61"/>
      <c r="D520" s="61"/>
      <c r="E520" s="71"/>
      <c r="F520" s="62">
        <f>F521+F528</f>
        <v>15500</v>
      </c>
      <c r="G520" s="303">
        <f>G521+G528</f>
        <v>738</v>
      </c>
      <c r="H520" s="62">
        <f>H521+H528</f>
        <v>10500</v>
      </c>
      <c r="I520" s="62">
        <f t="shared" si="96"/>
        <v>67.741935483870961</v>
      </c>
    </row>
    <row r="521" spans="1:9" s="53" customFormat="1" ht="24">
      <c r="A521" s="58" t="s">
        <v>637</v>
      </c>
      <c r="B521" s="59" t="s">
        <v>638</v>
      </c>
      <c r="C521" s="59"/>
      <c r="D521" s="59"/>
      <c r="E521" s="66"/>
      <c r="F521" s="78">
        <f t="shared" ref="F521:H522" si="98">F522</f>
        <v>15000</v>
      </c>
      <c r="G521" s="273">
        <f t="shared" si="98"/>
        <v>738</v>
      </c>
      <c r="H521" s="78">
        <f t="shared" si="98"/>
        <v>10000</v>
      </c>
      <c r="I521" s="60">
        <f t="shared" si="96"/>
        <v>66.666666666666657</v>
      </c>
    </row>
    <row r="522" spans="1:9" s="53" customFormat="1" ht="12">
      <c r="A522" s="58" t="s">
        <v>333</v>
      </c>
      <c r="B522" s="59" t="s">
        <v>638</v>
      </c>
      <c r="C522" s="59" t="s">
        <v>376</v>
      </c>
      <c r="D522" s="59"/>
      <c r="E522" s="66"/>
      <c r="F522" s="78">
        <f t="shared" si="98"/>
        <v>15000</v>
      </c>
      <c r="G522" s="273">
        <f t="shared" si="98"/>
        <v>738</v>
      </c>
      <c r="H522" s="78">
        <f t="shared" si="98"/>
        <v>10000</v>
      </c>
      <c r="I522" s="60">
        <f t="shared" si="96"/>
        <v>66.666666666666657</v>
      </c>
    </row>
    <row r="523" spans="1:9" s="53" customFormat="1" ht="12">
      <c r="A523" s="58" t="s">
        <v>335</v>
      </c>
      <c r="B523" s="59" t="s">
        <v>638</v>
      </c>
      <c r="C523" s="59" t="s">
        <v>376</v>
      </c>
      <c r="D523" s="59" t="s">
        <v>431</v>
      </c>
      <c r="E523" s="66"/>
      <c r="F523" s="78">
        <f>F524+F526</f>
        <v>15000</v>
      </c>
      <c r="G523" s="273">
        <f>G524+G526</f>
        <v>738</v>
      </c>
      <c r="H523" s="78">
        <f>H524+H526</f>
        <v>10000</v>
      </c>
      <c r="I523" s="60">
        <f t="shared" si="96"/>
        <v>66.666666666666657</v>
      </c>
    </row>
    <row r="524" spans="1:9" s="53" customFormat="1" ht="24">
      <c r="A524" s="65" t="s">
        <v>486</v>
      </c>
      <c r="B524" s="66" t="s">
        <v>638</v>
      </c>
      <c r="C524" s="82" t="s">
        <v>376</v>
      </c>
      <c r="D524" s="82" t="s">
        <v>431</v>
      </c>
      <c r="E524" s="66" t="s">
        <v>77</v>
      </c>
      <c r="F524" s="79">
        <f>F525</f>
        <v>4500</v>
      </c>
      <c r="G524" s="272">
        <f>G525</f>
        <v>0</v>
      </c>
      <c r="H524" s="79">
        <f>H525</f>
        <v>4500</v>
      </c>
      <c r="I524" s="67">
        <f t="shared" si="96"/>
        <v>100</v>
      </c>
    </row>
    <row r="525" spans="1:9" s="53" customFormat="1" ht="24">
      <c r="A525" s="65" t="s">
        <v>78</v>
      </c>
      <c r="B525" s="66" t="s">
        <v>638</v>
      </c>
      <c r="C525" s="66" t="s">
        <v>376</v>
      </c>
      <c r="D525" s="66" t="s">
        <v>431</v>
      </c>
      <c r="E525" s="66" t="s">
        <v>79</v>
      </c>
      <c r="F525" s="79">
        <v>4500</v>
      </c>
      <c r="G525" s="272">
        <v>0</v>
      </c>
      <c r="H525" s="79">
        <v>4500</v>
      </c>
      <c r="I525" s="67">
        <f t="shared" si="96"/>
        <v>100</v>
      </c>
    </row>
    <row r="526" spans="1:9" s="53" customFormat="1" ht="12">
      <c r="A526" s="65" t="s">
        <v>199</v>
      </c>
      <c r="B526" s="66" t="s">
        <v>638</v>
      </c>
      <c r="C526" s="82" t="s">
        <v>376</v>
      </c>
      <c r="D526" s="82" t="s">
        <v>431</v>
      </c>
      <c r="E526" s="66" t="s">
        <v>377</v>
      </c>
      <c r="F526" s="79">
        <f>F527</f>
        <v>10500</v>
      </c>
      <c r="G526" s="272">
        <f>G527</f>
        <v>738</v>
      </c>
      <c r="H526" s="79">
        <f>H527</f>
        <v>5500</v>
      </c>
      <c r="I526" s="67">
        <f t="shared" si="96"/>
        <v>52.380952380952387</v>
      </c>
    </row>
    <row r="527" spans="1:9" s="53" customFormat="1" ht="12">
      <c r="A527" s="65" t="s">
        <v>378</v>
      </c>
      <c r="B527" s="66" t="s">
        <v>638</v>
      </c>
      <c r="C527" s="66" t="s">
        <v>376</v>
      </c>
      <c r="D527" s="66" t="s">
        <v>431</v>
      </c>
      <c r="E527" s="66" t="s">
        <v>379</v>
      </c>
      <c r="F527" s="79">
        <v>10500</v>
      </c>
      <c r="G527" s="272">
        <v>738</v>
      </c>
      <c r="H527" s="79">
        <f>10500-5000</f>
        <v>5500</v>
      </c>
      <c r="I527" s="67">
        <f t="shared" si="96"/>
        <v>52.380952380952387</v>
      </c>
    </row>
    <row r="528" spans="1:9" s="53" customFormat="1" ht="12">
      <c r="A528" s="58" t="s">
        <v>501</v>
      </c>
      <c r="B528" s="59" t="s">
        <v>639</v>
      </c>
      <c r="C528" s="59"/>
      <c r="D528" s="59"/>
      <c r="E528" s="59"/>
      <c r="F528" s="78">
        <f t="shared" ref="F528:H531" si="99">F529</f>
        <v>500</v>
      </c>
      <c r="G528" s="273">
        <f t="shared" si="99"/>
        <v>0</v>
      </c>
      <c r="H528" s="78">
        <f t="shared" si="99"/>
        <v>500</v>
      </c>
      <c r="I528" s="60">
        <f t="shared" si="96"/>
        <v>100</v>
      </c>
    </row>
    <row r="529" spans="1:9" s="53" customFormat="1" ht="12">
      <c r="A529" s="58" t="s">
        <v>333</v>
      </c>
      <c r="B529" s="59" t="s">
        <v>639</v>
      </c>
      <c r="C529" s="59" t="s">
        <v>376</v>
      </c>
      <c r="D529" s="59"/>
      <c r="E529" s="59"/>
      <c r="F529" s="78">
        <f t="shared" si="99"/>
        <v>500</v>
      </c>
      <c r="G529" s="273">
        <f t="shared" si="99"/>
        <v>0</v>
      </c>
      <c r="H529" s="78">
        <f t="shared" si="99"/>
        <v>500</v>
      </c>
      <c r="I529" s="60">
        <f t="shared" si="96"/>
        <v>100</v>
      </c>
    </row>
    <row r="530" spans="1:9" s="53" customFormat="1" ht="12">
      <c r="A530" s="58" t="s">
        <v>335</v>
      </c>
      <c r="B530" s="59" t="s">
        <v>639</v>
      </c>
      <c r="C530" s="59" t="s">
        <v>376</v>
      </c>
      <c r="D530" s="59" t="s">
        <v>431</v>
      </c>
      <c r="E530" s="59"/>
      <c r="F530" s="78">
        <f t="shared" si="99"/>
        <v>500</v>
      </c>
      <c r="G530" s="273">
        <f t="shared" si="99"/>
        <v>0</v>
      </c>
      <c r="H530" s="78">
        <f t="shared" si="99"/>
        <v>500</v>
      </c>
      <c r="I530" s="60">
        <f t="shared" si="96"/>
        <v>100</v>
      </c>
    </row>
    <row r="531" spans="1:9" s="53" customFormat="1" ht="24">
      <c r="A531" s="65" t="s">
        <v>486</v>
      </c>
      <c r="B531" s="66" t="s">
        <v>639</v>
      </c>
      <c r="C531" s="66" t="s">
        <v>376</v>
      </c>
      <c r="D531" s="66" t="s">
        <v>431</v>
      </c>
      <c r="E531" s="66" t="s">
        <v>77</v>
      </c>
      <c r="F531" s="79">
        <f t="shared" si="99"/>
        <v>500</v>
      </c>
      <c r="G531" s="272">
        <f t="shared" si="99"/>
        <v>0</v>
      </c>
      <c r="H531" s="79">
        <f t="shared" si="99"/>
        <v>500</v>
      </c>
      <c r="I531" s="67">
        <f t="shared" si="96"/>
        <v>100</v>
      </c>
    </row>
    <row r="532" spans="1:9" s="53" customFormat="1" ht="24">
      <c r="A532" s="65" t="s">
        <v>78</v>
      </c>
      <c r="B532" s="66" t="s">
        <v>639</v>
      </c>
      <c r="C532" s="66" t="s">
        <v>376</v>
      </c>
      <c r="D532" s="66" t="s">
        <v>431</v>
      </c>
      <c r="E532" s="66" t="s">
        <v>79</v>
      </c>
      <c r="F532" s="79">
        <v>500</v>
      </c>
      <c r="G532" s="272">
        <v>0</v>
      </c>
      <c r="H532" s="79">
        <v>500</v>
      </c>
      <c r="I532" s="67">
        <f t="shared" si="96"/>
        <v>100</v>
      </c>
    </row>
    <row r="533" spans="1:9" s="53" customFormat="1" ht="24">
      <c r="A533" s="58" t="s">
        <v>640</v>
      </c>
      <c r="B533" s="59" t="s">
        <v>135</v>
      </c>
      <c r="C533" s="59"/>
      <c r="D533" s="59"/>
      <c r="E533" s="66"/>
      <c r="F533" s="60">
        <f t="shared" ref="F533:H535" si="100">F534</f>
        <v>74856.800000000003</v>
      </c>
      <c r="G533" s="282">
        <f t="shared" si="100"/>
        <v>62793.824840000001</v>
      </c>
      <c r="H533" s="60">
        <f t="shared" si="100"/>
        <v>71856.800000000003</v>
      </c>
      <c r="I533" s="60">
        <f t="shared" si="96"/>
        <v>95.992348056555983</v>
      </c>
    </row>
    <row r="534" spans="1:9" s="53" customFormat="1" ht="24">
      <c r="A534" s="70" t="s">
        <v>641</v>
      </c>
      <c r="B534" s="71" t="s">
        <v>642</v>
      </c>
      <c r="C534" s="71"/>
      <c r="D534" s="71"/>
      <c r="E534" s="83"/>
      <c r="F534" s="72">
        <f t="shared" si="100"/>
        <v>74856.800000000003</v>
      </c>
      <c r="G534" s="281">
        <f t="shared" si="100"/>
        <v>62793.824840000001</v>
      </c>
      <c r="H534" s="72">
        <f t="shared" si="100"/>
        <v>71856.800000000003</v>
      </c>
      <c r="I534" s="60">
        <f t="shared" si="96"/>
        <v>95.992348056555983</v>
      </c>
    </row>
    <row r="535" spans="1:9" s="53" customFormat="1" ht="12">
      <c r="A535" s="58" t="s">
        <v>333</v>
      </c>
      <c r="B535" s="59" t="s">
        <v>642</v>
      </c>
      <c r="C535" s="59" t="s">
        <v>376</v>
      </c>
      <c r="D535" s="59"/>
      <c r="E535" s="83"/>
      <c r="F535" s="60">
        <f t="shared" si="100"/>
        <v>74856.800000000003</v>
      </c>
      <c r="G535" s="282">
        <f t="shared" si="100"/>
        <v>62793.824840000001</v>
      </c>
      <c r="H535" s="60">
        <f t="shared" si="100"/>
        <v>71856.800000000003</v>
      </c>
      <c r="I535" s="60">
        <f t="shared" si="96"/>
        <v>95.992348056555983</v>
      </c>
    </row>
    <row r="536" spans="1:9" s="53" customFormat="1" ht="12">
      <c r="A536" s="58" t="s">
        <v>335</v>
      </c>
      <c r="B536" s="59" t="s">
        <v>642</v>
      </c>
      <c r="C536" s="59" t="s">
        <v>376</v>
      </c>
      <c r="D536" s="59" t="s">
        <v>431</v>
      </c>
      <c r="E536" s="83"/>
      <c r="F536" s="60">
        <f>F537+F539</f>
        <v>74856.800000000003</v>
      </c>
      <c r="G536" s="282">
        <f>G537+G539</f>
        <v>62793.824840000001</v>
      </c>
      <c r="H536" s="60">
        <f>H537+H539</f>
        <v>71856.800000000003</v>
      </c>
      <c r="I536" s="60">
        <f t="shared" si="96"/>
        <v>95.992348056555983</v>
      </c>
    </row>
    <row r="537" spans="1:9" s="53" customFormat="1" ht="24">
      <c r="A537" s="65" t="s">
        <v>486</v>
      </c>
      <c r="B537" s="66" t="s">
        <v>642</v>
      </c>
      <c r="C537" s="66" t="s">
        <v>376</v>
      </c>
      <c r="D537" s="66" t="s">
        <v>431</v>
      </c>
      <c r="E537" s="66" t="s">
        <v>77</v>
      </c>
      <c r="F537" s="67">
        <f>F538</f>
        <v>70856.800000000003</v>
      </c>
      <c r="G537" s="280">
        <f>G538</f>
        <v>61883.102440000002</v>
      </c>
      <c r="H537" s="67">
        <f>H538</f>
        <v>69856.800000000003</v>
      </c>
      <c r="I537" s="67">
        <f t="shared" si="96"/>
        <v>98.588702848562164</v>
      </c>
    </row>
    <row r="538" spans="1:9" s="53" customFormat="1" ht="24">
      <c r="A538" s="65" t="s">
        <v>78</v>
      </c>
      <c r="B538" s="66" t="s">
        <v>642</v>
      </c>
      <c r="C538" s="66" t="s">
        <v>376</v>
      </c>
      <c r="D538" s="66" t="s">
        <v>431</v>
      </c>
      <c r="E538" s="66" t="s">
        <v>79</v>
      </c>
      <c r="F538" s="67">
        <v>70856.800000000003</v>
      </c>
      <c r="G538" s="280">
        <v>61883.102440000002</v>
      </c>
      <c r="H538" s="67">
        <f>70856.8-1000</f>
        <v>69856.800000000003</v>
      </c>
      <c r="I538" s="67">
        <f t="shared" si="96"/>
        <v>98.588702848562164</v>
      </c>
    </row>
    <row r="539" spans="1:9" s="53" customFormat="1" ht="12">
      <c r="A539" s="65" t="s">
        <v>199</v>
      </c>
      <c r="B539" s="66" t="s">
        <v>642</v>
      </c>
      <c r="C539" s="82" t="s">
        <v>376</v>
      </c>
      <c r="D539" s="82" t="s">
        <v>431</v>
      </c>
      <c r="E539" s="66" t="s">
        <v>377</v>
      </c>
      <c r="F539" s="67">
        <f>F540</f>
        <v>4000</v>
      </c>
      <c r="G539" s="280">
        <f>G540</f>
        <v>910.72239999999999</v>
      </c>
      <c r="H539" s="67">
        <f>H540</f>
        <v>2000</v>
      </c>
      <c r="I539" s="67">
        <f t="shared" si="96"/>
        <v>50</v>
      </c>
    </row>
    <row r="540" spans="1:9" s="53" customFormat="1" ht="12">
      <c r="A540" s="65" t="s">
        <v>378</v>
      </c>
      <c r="B540" s="66" t="s">
        <v>642</v>
      </c>
      <c r="C540" s="66" t="s">
        <v>376</v>
      </c>
      <c r="D540" s="66" t="s">
        <v>431</v>
      </c>
      <c r="E540" s="66" t="s">
        <v>379</v>
      </c>
      <c r="F540" s="67">
        <v>4000</v>
      </c>
      <c r="G540" s="280">
        <v>910.72239999999999</v>
      </c>
      <c r="H540" s="67">
        <f>4000-2000</f>
        <v>2000</v>
      </c>
      <c r="I540" s="67">
        <f t="shared" si="96"/>
        <v>50</v>
      </c>
    </row>
    <row r="541" spans="1:9" s="53" customFormat="1" ht="13.5">
      <c r="A541" s="69" t="s">
        <v>629</v>
      </c>
      <c r="B541" s="61" t="s">
        <v>440</v>
      </c>
      <c r="C541" s="61"/>
      <c r="D541" s="61"/>
      <c r="E541" s="110"/>
      <c r="F541" s="62">
        <f>F542+F547+F552</f>
        <v>11100</v>
      </c>
      <c r="G541" s="302">
        <f>G542+G547+G552</f>
        <v>5968.7110000000002</v>
      </c>
      <c r="H541" s="62">
        <f>H542+H547+H552</f>
        <v>8100</v>
      </c>
      <c r="I541" s="62">
        <f t="shared" si="96"/>
        <v>72.972972972972968</v>
      </c>
    </row>
    <row r="542" spans="1:9" s="53" customFormat="1" ht="24">
      <c r="A542" s="74" t="s">
        <v>630</v>
      </c>
      <c r="B542" s="71" t="s">
        <v>631</v>
      </c>
      <c r="C542" s="71"/>
      <c r="D542" s="71"/>
      <c r="E542" s="71"/>
      <c r="F542" s="72">
        <f t="shared" ref="F542:H545" si="101">F543</f>
        <v>500</v>
      </c>
      <c r="G542" s="299">
        <f t="shared" si="101"/>
        <v>0</v>
      </c>
      <c r="H542" s="72">
        <f t="shared" si="101"/>
        <v>500</v>
      </c>
      <c r="I542" s="72">
        <f t="shared" si="96"/>
        <v>100</v>
      </c>
    </row>
    <row r="543" spans="1:9" s="53" customFormat="1" ht="12">
      <c r="A543" s="58" t="s">
        <v>333</v>
      </c>
      <c r="B543" s="59" t="s">
        <v>631</v>
      </c>
      <c r="C543" s="59" t="s">
        <v>376</v>
      </c>
      <c r="D543" s="59"/>
      <c r="E543" s="59"/>
      <c r="F543" s="60">
        <f t="shared" si="101"/>
        <v>500</v>
      </c>
      <c r="G543" s="273">
        <f t="shared" si="101"/>
        <v>0</v>
      </c>
      <c r="H543" s="60">
        <f t="shared" si="101"/>
        <v>500</v>
      </c>
      <c r="I543" s="60">
        <f t="shared" si="96"/>
        <v>100</v>
      </c>
    </row>
    <row r="544" spans="1:9" s="53" customFormat="1" ht="12">
      <c r="A544" s="58" t="s">
        <v>334</v>
      </c>
      <c r="B544" s="59" t="s">
        <v>631</v>
      </c>
      <c r="C544" s="59" t="s">
        <v>376</v>
      </c>
      <c r="D544" s="59" t="s">
        <v>69</v>
      </c>
      <c r="E544" s="59"/>
      <c r="F544" s="60">
        <f t="shared" si="101"/>
        <v>500</v>
      </c>
      <c r="G544" s="273">
        <f t="shared" si="101"/>
        <v>0</v>
      </c>
      <c r="H544" s="60">
        <f t="shared" si="101"/>
        <v>500</v>
      </c>
      <c r="I544" s="60">
        <f t="shared" si="96"/>
        <v>100</v>
      </c>
    </row>
    <row r="545" spans="1:9" s="53" customFormat="1" ht="24">
      <c r="A545" s="65" t="s">
        <v>486</v>
      </c>
      <c r="B545" s="66" t="s">
        <v>631</v>
      </c>
      <c r="C545" s="66" t="s">
        <v>376</v>
      </c>
      <c r="D545" s="66" t="s">
        <v>69</v>
      </c>
      <c r="E545" s="66" t="s">
        <v>77</v>
      </c>
      <c r="F545" s="67">
        <f t="shared" si="101"/>
        <v>500</v>
      </c>
      <c r="G545" s="272">
        <f t="shared" si="101"/>
        <v>0</v>
      </c>
      <c r="H545" s="67">
        <f t="shared" si="101"/>
        <v>500</v>
      </c>
      <c r="I545" s="67">
        <f t="shared" si="96"/>
        <v>100</v>
      </c>
    </row>
    <row r="546" spans="1:9" s="53" customFormat="1" ht="24">
      <c r="A546" s="65" t="s">
        <v>78</v>
      </c>
      <c r="B546" s="66" t="s">
        <v>631</v>
      </c>
      <c r="C546" s="66" t="s">
        <v>376</v>
      </c>
      <c r="D546" s="66" t="s">
        <v>69</v>
      </c>
      <c r="E546" s="66" t="s">
        <v>79</v>
      </c>
      <c r="F546" s="67">
        <v>500</v>
      </c>
      <c r="G546" s="272">
        <v>0</v>
      </c>
      <c r="H546" s="67">
        <v>500</v>
      </c>
      <c r="I546" s="67">
        <f t="shared" si="96"/>
        <v>100</v>
      </c>
    </row>
    <row r="547" spans="1:9" s="53" customFormat="1" ht="36">
      <c r="A547" s="70" t="s">
        <v>499</v>
      </c>
      <c r="B547" s="71" t="s">
        <v>632</v>
      </c>
      <c r="C547" s="71"/>
      <c r="D547" s="71"/>
      <c r="E547" s="71"/>
      <c r="F547" s="72">
        <f t="shared" ref="F547:H550" si="102">F548</f>
        <v>500</v>
      </c>
      <c r="G547" s="299">
        <f t="shared" si="102"/>
        <v>0</v>
      </c>
      <c r="H547" s="72">
        <f t="shared" si="102"/>
        <v>500</v>
      </c>
      <c r="I547" s="72">
        <f t="shared" si="96"/>
        <v>100</v>
      </c>
    </row>
    <row r="548" spans="1:9" s="53" customFormat="1" ht="12">
      <c r="A548" s="58" t="s">
        <v>333</v>
      </c>
      <c r="B548" s="59" t="s">
        <v>632</v>
      </c>
      <c r="C548" s="59" t="s">
        <v>376</v>
      </c>
      <c r="D548" s="59"/>
      <c r="E548" s="59"/>
      <c r="F548" s="60">
        <f t="shared" si="102"/>
        <v>500</v>
      </c>
      <c r="G548" s="273">
        <f t="shared" si="102"/>
        <v>0</v>
      </c>
      <c r="H548" s="60">
        <f t="shared" si="102"/>
        <v>500</v>
      </c>
      <c r="I548" s="60">
        <f t="shared" si="96"/>
        <v>100</v>
      </c>
    </row>
    <row r="549" spans="1:9" s="53" customFormat="1" ht="12">
      <c r="A549" s="58" t="s">
        <v>334</v>
      </c>
      <c r="B549" s="59" t="s">
        <v>632</v>
      </c>
      <c r="C549" s="59" t="s">
        <v>376</v>
      </c>
      <c r="D549" s="59" t="s">
        <v>69</v>
      </c>
      <c r="E549" s="59"/>
      <c r="F549" s="60">
        <f t="shared" si="102"/>
        <v>500</v>
      </c>
      <c r="G549" s="273">
        <f t="shared" si="102"/>
        <v>0</v>
      </c>
      <c r="H549" s="60">
        <f t="shared" si="102"/>
        <v>500</v>
      </c>
      <c r="I549" s="60">
        <f t="shared" si="96"/>
        <v>100</v>
      </c>
    </row>
    <row r="550" spans="1:9" s="53" customFormat="1" ht="24">
      <c r="A550" s="65" t="s">
        <v>486</v>
      </c>
      <c r="B550" s="66" t="s">
        <v>632</v>
      </c>
      <c r="C550" s="66" t="s">
        <v>376</v>
      </c>
      <c r="D550" s="66" t="s">
        <v>69</v>
      </c>
      <c r="E550" s="66" t="s">
        <v>77</v>
      </c>
      <c r="F550" s="67">
        <f t="shared" si="102"/>
        <v>500</v>
      </c>
      <c r="G550" s="272">
        <f t="shared" si="102"/>
        <v>0</v>
      </c>
      <c r="H550" s="67">
        <f t="shared" si="102"/>
        <v>500</v>
      </c>
      <c r="I550" s="67">
        <f t="shared" si="96"/>
        <v>100</v>
      </c>
    </row>
    <row r="551" spans="1:9" s="53" customFormat="1" ht="24">
      <c r="A551" s="65" t="s">
        <v>78</v>
      </c>
      <c r="B551" s="66" t="s">
        <v>632</v>
      </c>
      <c r="C551" s="66" t="s">
        <v>376</v>
      </c>
      <c r="D551" s="66" t="s">
        <v>69</v>
      </c>
      <c r="E551" s="66" t="s">
        <v>79</v>
      </c>
      <c r="F551" s="67">
        <v>500</v>
      </c>
      <c r="G551" s="272">
        <v>0</v>
      </c>
      <c r="H551" s="67">
        <v>500</v>
      </c>
      <c r="I551" s="67">
        <f t="shared" si="96"/>
        <v>100</v>
      </c>
    </row>
    <row r="552" spans="1:9" s="53" customFormat="1" ht="12">
      <c r="A552" s="74" t="s">
        <v>219</v>
      </c>
      <c r="B552" s="77" t="s">
        <v>633</v>
      </c>
      <c r="C552" s="71"/>
      <c r="D552" s="71"/>
      <c r="E552" s="71"/>
      <c r="F552" s="72">
        <f t="shared" ref="F552:H555" si="103">F553</f>
        <v>10100</v>
      </c>
      <c r="G552" s="281">
        <f t="shared" si="103"/>
        <v>5968.7110000000002</v>
      </c>
      <c r="H552" s="72">
        <f t="shared" si="103"/>
        <v>7100</v>
      </c>
      <c r="I552" s="72">
        <f t="shared" si="96"/>
        <v>70.297029702970292</v>
      </c>
    </row>
    <row r="553" spans="1:9" s="53" customFormat="1" ht="12">
      <c r="A553" s="58" t="s">
        <v>333</v>
      </c>
      <c r="B553" s="120" t="s">
        <v>633</v>
      </c>
      <c r="C553" s="59" t="s">
        <v>376</v>
      </c>
      <c r="D553" s="59"/>
      <c r="E553" s="59"/>
      <c r="F553" s="60">
        <f t="shared" si="103"/>
        <v>10100</v>
      </c>
      <c r="G553" s="282">
        <f t="shared" si="103"/>
        <v>5968.7110000000002</v>
      </c>
      <c r="H553" s="60">
        <f t="shared" si="103"/>
        <v>7100</v>
      </c>
      <c r="I553" s="60">
        <f t="shared" si="96"/>
        <v>70.297029702970292</v>
      </c>
    </row>
    <row r="554" spans="1:9" s="53" customFormat="1" ht="12">
      <c r="A554" s="58" t="s">
        <v>334</v>
      </c>
      <c r="B554" s="120" t="s">
        <v>633</v>
      </c>
      <c r="C554" s="59" t="s">
        <v>376</v>
      </c>
      <c r="D554" s="59" t="s">
        <v>69</v>
      </c>
      <c r="E554" s="59"/>
      <c r="F554" s="60">
        <f t="shared" si="103"/>
        <v>10100</v>
      </c>
      <c r="G554" s="282">
        <f t="shared" si="103"/>
        <v>5968.7110000000002</v>
      </c>
      <c r="H554" s="60">
        <f t="shared" si="103"/>
        <v>7100</v>
      </c>
      <c r="I554" s="60">
        <f t="shared" si="96"/>
        <v>70.297029702970292</v>
      </c>
    </row>
    <row r="555" spans="1:9" s="53" customFormat="1" ht="24">
      <c r="A555" s="65" t="s">
        <v>486</v>
      </c>
      <c r="B555" s="66" t="s">
        <v>633</v>
      </c>
      <c r="C555" s="66" t="s">
        <v>376</v>
      </c>
      <c r="D555" s="66" t="s">
        <v>69</v>
      </c>
      <c r="E555" s="66" t="s">
        <v>77</v>
      </c>
      <c r="F555" s="67">
        <f t="shared" si="103"/>
        <v>10100</v>
      </c>
      <c r="G555" s="280">
        <f t="shared" si="103"/>
        <v>5968.7110000000002</v>
      </c>
      <c r="H555" s="67">
        <f t="shared" si="103"/>
        <v>7100</v>
      </c>
      <c r="I555" s="67">
        <f t="shared" si="96"/>
        <v>70.297029702970292</v>
      </c>
    </row>
    <row r="556" spans="1:9" s="53" customFormat="1" ht="24">
      <c r="A556" s="65" t="s">
        <v>78</v>
      </c>
      <c r="B556" s="66" t="s">
        <v>633</v>
      </c>
      <c r="C556" s="66" t="s">
        <v>376</v>
      </c>
      <c r="D556" s="66" t="s">
        <v>69</v>
      </c>
      <c r="E556" s="66" t="s">
        <v>79</v>
      </c>
      <c r="F556" s="67">
        <v>10100</v>
      </c>
      <c r="G556" s="280">
        <v>5968.7110000000002</v>
      </c>
      <c r="H556" s="67">
        <f>10100-3000</f>
        <v>7100</v>
      </c>
      <c r="I556" s="67">
        <f t="shared" si="96"/>
        <v>70.297029702970292</v>
      </c>
    </row>
    <row r="557" spans="1:9" s="53" customFormat="1" ht="12">
      <c r="A557" s="70" t="s">
        <v>643</v>
      </c>
      <c r="B557" s="71" t="s">
        <v>644</v>
      </c>
      <c r="C557" s="71"/>
      <c r="D557" s="71"/>
      <c r="E557" s="71"/>
      <c r="F557" s="72">
        <f t="shared" ref="F557:H561" si="104">F558</f>
        <v>17310</v>
      </c>
      <c r="G557" s="299">
        <f t="shared" si="104"/>
        <v>0</v>
      </c>
      <c r="H557" s="72">
        <f t="shared" si="104"/>
        <v>0</v>
      </c>
      <c r="I557" s="80">
        <f t="shared" si="96"/>
        <v>0</v>
      </c>
    </row>
    <row r="558" spans="1:9" s="53" customFormat="1" ht="12">
      <c r="A558" s="58" t="s">
        <v>645</v>
      </c>
      <c r="B558" s="59" t="s">
        <v>646</v>
      </c>
      <c r="C558" s="66"/>
      <c r="D558" s="66"/>
      <c r="E558" s="59"/>
      <c r="F558" s="60">
        <f t="shared" si="104"/>
        <v>17310</v>
      </c>
      <c r="G558" s="273">
        <f t="shared" si="104"/>
        <v>0</v>
      </c>
      <c r="H558" s="60">
        <f t="shared" si="104"/>
        <v>0</v>
      </c>
      <c r="I558" s="78">
        <f t="shared" si="96"/>
        <v>0</v>
      </c>
    </row>
    <row r="559" spans="1:9" s="53" customFormat="1" ht="12">
      <c r="A559" s="58" t="s">
        <v>333</v>
      </c>
      <c r="B559" s="59" t="s">
        <v>646</v>
      </c>
      <c r="C559" s="59" t="s">
        <v>376</v>
      </c>
      <c r="D559" s="59"/>
      <c r="E559" s="59"/>
      <c r="F559" s="60">
        <f t="shared" si="104"/>
        <v>17310</v>
      </c>
      <c r="G559" s="273">
        <f t="shared" si="104"/>
        <v>0</v>
      </c>
      <c r="H559" s="60">
        <f t="shared" si="104"/>
        <v>0</v>
      </c>
      <c r="I559" s="78">
        <f t="shared" si="96"/>
        <v>0</v>
      </c>
    </row>
    <row r="560" spans="1:9" s="53" customFormat="1" ht="12">
      <c r="A560" s="58" t="s">
        <v>335</v>
      </c>
      <c r="B560" s="59" t="s">
        <v>646</v>
      </c>
      <c r="C560" s="59" t="s">
        <v>376</v>
      </c>
      <c r="D560" s="59" t="s">
        <v>431</v>
      </c>
      <c r="E560" s="59"/>
      <c r="F560" s="60">
        <f t="shared" si="104"/>
        <v>17310</v>
      </c>
      <c r="G560" s="273">
        <f t="shared" si="104"/>
        <v>0</v>
      </c>
      <c r="H560" s="60">
        <f t="shared" si="104"/>
        <v>0</v>
      </c>
      <c r="I560" s="78">
        <f t="shared" si="96"/>
        <v>0</v>
      </c>
    </row>
    <row r="561" spans="1:9" s="53" customFormat="1" ht="24">
      <c r="A561" s="65" t="s">
        <v>486</v>
      </c>
      <c r="B561" s="66" t="s">
        <v>646</v>
      </c>
      <c r="C561" s="66" t="s">
        <v>376</v>
      </c>
      <c r="D561" s="66" t="s">
        <v>431</v>
      </c>
      <c r="E561" s="66" t="s">
        <v>77</v>
      </c>
      <c r="F561" s="67">
        <f t="shared" si="104"/>
        <v>17310</v>
      </c>
      <c r="G561" s="272">
        <f t="shared" si="104"/>
        <v>0</v>
      </c>
      <c r="H561" s="67">
        <f t="shared" si="104"/>
        <v>0</v>
      </c>
      <c r="I561" s="79">
        <f t="shared" si="96"/>
        <v>0</v>
      </c>
    </row>
    <row r="562" spans="1:9" s="53" customFormat="1" ht="24">
      <c r="A562" s="65" t="s">
        <v>78</v>
      </c>
      <c r="B562" s="66" t="s">
        <v>646</v>
      </c>
      <c r="C562" s="66" t="s">
        <v>376</v>
      </c>
      <c r="D562" s="66" t="s">
        <v>431</v>
      </c>
      <c r="E562" s="66" t="s">
        <v>79</v>
      </c>
      <c r="F562" s="67">
        <v>17310</v>
      </c>
      <c r="G562" s="272">
        <v>0</v>
      </c>
      <c r="H562" s="67">
        <f>17310-17310</f>
        <v>0</v>
      </c>
      <c r="I562" s="79">
        <f t="shared" si="96"/>
        <v>0</v>
      </c>
    </row>
    <row r="563" spans="1:9" s="53" customFormat="1" ht="24">
      <c r="A563" s="70" t="s">
        <v>134</v>
      </c>
      <c r="B563" s="71" t="s">
        <v>114</v>
      </c>
      <c r="C563" s="71"/>
      <c r="D563" s="71"/>
      <c r="E563" s="83"/>
      <c r="F563" s="72">
        <f>F564+F569+F574+F579+F584+F589+F599+F604+F609+F614+F619</f>
        <v>346476.28330000001</v>
      </c>
      <c r="G563" s="281">
        <f>G564+G569+G574+G579+G584+G589+G599+G604+G609+G614+G619</f>
        <v>155277.1292</v>
      </c>
      <c r="H563" s="72">
        <f>H564+H569+H574+H579+H584+H589+H599+H604+H609+H614+H619</f>
        <v>333695.81425</v>
      </c>
      <c r="I563" s="72">
        <f t="shared" si="96"/>
        <v>96.311300465280652</v>
      </c>
    </row>
    <row r="564" spans="1:9" s="53" customFormat="1" ht="60">
      <c r="A564" s="84" t="s">
        <v>517</v>
      </c>
      <c r="B564" s="71" t="s">
        <v>520</v>
      </c>
      <c r="C564" s="71"/>
      <c r="D564" s="71"/>
      <c r="E564" s="71"/>
      <c r="F564" s="80">
        <f t="shared" ref="F564:H567" si="105">F565</f>
        <v>97778.907380000004</v>
      </c>
      <c r="G564" s="299">
        <f t="shared" si="105"/>
        <v>0</v>
      </c>
      <c r="H564" s="80">
        <f t="shared" si="105"/>
        <v>97778.907380000004</v>
      </c>
      <c r="I564" s="72">
        <f t="shared" si="96"/>
        <v>100</v>
      </c>
    </row>
    <row r="565" spans="1:9" s="52" customFormat="1" ht="12">
      <c r="A565" s="58" t="s">
        <v>333</v>
      </c>
      <c r="B565" s="59" t="s">
        <v>520</v>
      </c>
      <c r="C565" s="59" t="s">
        <v>376</v>
      </c>
      <c r="D565" s="59"/>
      <c r="E565" s="59"/>
      <c r="F565" s="78">
        <f t="shared" si="105"/>
        <v>97778.907380000004</v>
      </c>
      <c r="G565" s="273">
        <f t="shared" si="105"/>
        <v>0</v>
      </c>
      <c r="H565" s="78">
        <f t="shared" si="105"/>
        <v>97778.907380000004</v>
      </c>
      <c r="I565" s="60">
        <f t="shared" si="96"/>
        <v>100</v>
      </c>
    </row>
    <row r="566" spans="1:9" s="52" customFormat="1" ht="12">
      <c r="A566" s="58" t="s">
        <v>334</v>
      </c>
      <c r="B566" s="59" t="s">
        <v>520</v>
      </c>
      <c r="C566" s="59" t="s">
        <v>376</v>
      </c>
      <c r="D566" s="59" t="s">
        <v>69</v>
      </c>
      <c r="E566" s="59"/>
      <c r="F566" s="78">
        <f t="shared" si="105"/>
        <v>97778.907380000004</v>
      </c>
      <c r="G566" s="273">
        <f t="shared" si="105"/>
        <v>0</v>
      </c>
      <c r="H566" s="78">
        <f t="shared" si="105"/>
        <v>97778.907380000004</v>
      </c>
      <c r="I566" s="60">
        <f t="shared" si="96"/>
        <v>100</v>
      </c>
    </row>
    <row r="567" spans="1:9" s="53" customFormat="1" ht="12">
      <c r="A567" s="65" t="s">
        <v>199</v>
      </c>
      <c r="B567" s="66" t="s">
        <v>520</v>
      </c>
      <c r="C567" s="66" t="s">
        <v>376</v>
      </c>
      <c r="D567" s="66" t="s">
        <v>69</v>
      </c>
      <c r="E567" s="66" t="s">
        <v>377</v>
      </c>
      <c r="F567" s="79">
        <f t="shared" si="105"/>
        <v>97778.907380000004</v>
      </c>
      <c r="G567" s="272">
        <f t="shared" si="105"/>
        <v>0</v>
      </c>
      <c r="H567" s="79">
        <f t="shared" si="105"/>
        <v>97778.907380000004</v>
      </c>
      <c r="I567" s="67">
        <f t="shared" si="96"/>
        <v>100</v>
      </c>
    </row>
    <row r="568" spans="1:9" s="53" customFormat="1" ht="12">
      <c r="A568" s="65" t="s">
        <v>378</v>
      </c>
      <c r="B568" s="66" t="s">
        <v>520</v>
      </c>
      <c r="C568" s="66" t="s">
        <v>376</v>
      </c>
      <c r="D568" s="66" t="s">
        <v>69</v>
      </c>
      <c r="E568" s="66" t="s">
        <v>379</v>
      </c>
      <c r="F568" s="79">
        <f>19512.04901+78266.85837</f>
        <v>97778.907380000004</v>
      </c>
      <c r="G568" s="272">
        <v>0</v>
      </c>
      <c r="H568" s="79">
        <f>19512.04901+78266.85837</f>
        <v>97778.907380000004</v>
      </c>
      <c r="I568" s="67">
        <f t="shared" si="96"/>
        <v>100</v>
      </c>
    </row>
    <row r="569" spans="1:9" s="53" customFormat="1" ht="54">
      <c r="A569" s="69" t="s">
        <v>518</v>
      </c>
      <c r="B569" s="61" t="s">
        <v>521</v>
      </c>
      <c r="C569" s="61"/>
      <c r="D569" s="61"/>
      <c r="E569" s="61"/>
      <c r="F569" s="80">
        <f t="shared" ref="F569:H572" si="106">F570</f>
        <v>686.82392000000004</v>
      </c>
      <c r="G569" s="299">
        <f t="shared" si="106"/>
        <v>0</v>
      </c>
      <c r="H569" s="80">
        <f t="shared" si="106"/>
        <v>686.82392000000004</v>
      </c>
      <c r="I569" s="72">
        <f t="shared" si="96"/>
        <v>100</v>
      </c>
    </row>
    <row r="570" spans="1:9" s="53" customFormat="1">
      <c r="A570" s="58" t="s">
        <v>333</v>
      </c>
      <c r="B570" s="59" t="s">
        <v>521</v>
      </c>
      <c r="C570" s="59" t="s">
        <v>376</v>
      </c>
      <c r="D570" s="59"/>
      <c r="E570" s="301"/>
      <c r="F570" s="78">
        <f t="shared" si="106"/>
        <v>686.82392000000004</v>
      </c>
      <c r="G570" s="273">
        <f t="shared" si="106"/>
        <v>0</v>
      </c>
      <c r="H570" s="78">
        <f t="shared" si="106"/>
        <v>686.82392000000004</v>
      </c>
      <c r="I570" s="60">
        <f t="shared" si="96"/>
        <v>100</v>
      </c>
    </row>
    <row r="571" spans="1:9" s="53" customFormat="1">
      <c r="A571" s="58" t="s">
        <v>334</v>
      </c>
      <c r="B571" s="59" t="s">
        <v>521</v>
      </c>
      <c r="C571" s="59" t="s">
        <v>376</v>
      </c>
      <c r="D571" s="59" t="s">
        <v>69</v>
      </c>
      <c r="E571" s="301"/>
      <c r="F571" s="78">
        <f t="shared" si="106"/>
        <v>686.82392000000004</v>
      </c>
      <c r="G571" s="273">
        <f t="shared" si="106"/>
        <v>0</v>
      </c>
      <c r="H571" s="78">
        <f t="shared" si="106"/>
        <v>686.82392000000004</v>
      </c>
      <c r="I571" s="60">
        <f t="shared" si="96"/>
        <v>100</v>
      </c>
    </row>
    <row r="572" spans="1:9" s="53" customFormat="1" ht="12">
      <c r="A572" s="65" t="s">
        <v>199</v>
      </c>
      <c r="B572" s="66" t="s">
        <v>521</v>
      </c>
      <c r="C572" s="66" t="s">
        <v>376</v>
      </c>
      <c r="D572" s="66" t="s">
        <v>69</v>
      </c>
      <c r="E572" s="66" t="s">
        <v>377</v>
      </c>
      <c r="F572" s="79">
        <f t="shared" si="106"/>
        <v>686.82392000000004</v>
      </c>
      <c r="G572" s="272">
        <f t="shared" si="106"/>
        <v>0</v>
      </c>
      <c r="H572" s="79">
        <f t="shared" si="106"/>
        <v>686.82392000000004</v>
      </c>
      <c r="I572" s="67">
        <f t="shared" si="96"/>
        <v>100</v>
      </c>
    </row>
    <row r="573" spans="1:9" s="53" customFormat="1" ht="12">
      <c r="A573" s="65" t="s">
        <v>378</v>
      </c>
      <c r="B573" s="66" t="s">
        <v>521</v>
      </c>
      <c r="C573" s="66" t="s">
        <v>376</v>
      </c>
      <c r="D573" s="66" t="s">
        <v>69</v>
      </c>
      <c r="E573" s="66" t="s">
        <v>379</v>
      </c>
      <c r="F573" s="79">
        <v>686.82392000000004</v>
      </c>
      <c r="G573" s="272">
        <v>0</v>
      </c>
      <c r="H573" s="79">
        <v>686.82392000000004</v>
      </c>
      <c r="I573" s="67">
        <f t="shared" si="96"/>
        <v>100</v>
      </c>
    </row>
    <row r="574" spans="1:9" s="53" customFormat="1" ht="24">
      <c r="A574" s="125" t="s">
        <v>495</v>
      </c>
      <c r="B574" s="59" t="s">
        <v>522</v>
      </c>
      <c r="C574" s="59"/>
      <c r="D574" s="59"/>
      <c r="E574" s="59"/>
      <c r="F574" s="60">
        <f t="shared" ref="F574:H577" si="107">F575</f>
        <v>37686.800000000003</v>
      </c>
      <c r="G574" s="273">
        <f t="shared" si="107"/>
        <v>0</v>
      </c>
      <c r="H574" s="60">
        <f t="shared" si="107"/>
        <v>37686.800000000003</v>
      </c>
      <c r="I574" s="60">
        <f t="shared" si="96"/>
        <v>100</v>
      </c>
    </row>
    <row r="575" spans="1:9" s="53" customFormat="1" ht="12">
      <c r="A575" s="58" t="s">
        <v>333</v>
      </c>
      <c r="B575" s="59" t="s">
        <v>522</v>
      </c>
      <c r="C575" s="59" t="s">
        <v>376</v>
      </c>
      <c r="D575" s="59"/>
      <c r="E575" s="59"/>
      <c r="F575" s="60">
        <f t="shared" si="107"/>
        <v>37686.800000000003</v>
      </c>
      <c r="G575" s="273">
        <f t="shared" si="107"/>
        <v>0</v>
      </c>
      <c r="H575" s="60">
        <f t="shared" si="107"/>
        <v>37686.800000000003</v>
      </c>
      <c r="I575" s="60">
        <f t="shared" ref="I575:I638" si="108">H575/F575*100</f>
        <v>100</v>
      </c>
    </row>
    <row r="576" spans="1:9" s="53" customFormat="1" ht="12">
      <c r="A576" s="58" t="s">
        <v>334</v>
      </c>
      <c r="B576" s="59" t="s">
        <v>522</v>
      </c>
      <c r="C576" s="59" t="s">
        <v>376</v>
      </c>
      <c r="D576" s="59" t="s">
        <v>69</v>
      </c>
      <c r="E576" s="59"/>
      <c r="F576" s="60">
        <f t="shared" si="107"/>
        <v>37686.800000000003</v>
      </c>
      <c r="G576" s="273">
        <f t="shared" si="107"/>
        <v>0</v>
      </c>
      <c r="H576" s="60">
        <f t="shared" si="107"/>
        <v>37686.800000000003</v>
      </c>
      <c r="I576" s="60">
        <f t="shared" si="108"/>
        <v>100</v>
      </c>
    </row>
    <row r="577" spans="1:9" s="53" customFormat="1" ht="12">
      <c r="A577" s="126" t="s">
        <v>199</v>
      </c>
      <c r="B577" s="66" t="s">
        <v>522</v>
      </c>
      <c r="C577" s="66" t="s">
        <v>376</v>
      </c>
      <c r="D577" s="66" t="s">
        <v>69</v>
      </c>
      <c r="E577" s="66" t="s">
        <v>377</v>
      </c>
      <c r="F577" s="67">
        <f t="shared" si="107"/>
        <v>37686.800000000003</v>
      </c>
      <c r="G577" s="272">
        <f t="shared" si="107"/>
        <v>0</v>
      </c>
      <c r="H577" s="67">
        <f t="shared" si="107"/>
        <v>37686.800000000003</v>
      </c>
      <c r="I577" s="60">
        <f t="shared" si="108"/>
        <v>100</v>
      </c>
    </row>
    <row r="578" spans="1:9" s="53" customFormat="1" ht="12">
      <c r="A578" s="126" t="s">
        <v>378</v>
      </c>
      <c r="B578" s="66" t="s">
        <v>522</v>
      </c>
      <c r="C578" s="66" t="s">
        <v>376</v>
      </c>
      <c r="D578" s="66" t="s">
        <v>69</v>
      </c>
      <c r="E578" s="66" t="s">
        <v>379</v>
      </c>
      <c r="F578" s="67">
        <f>9686.8+28000</f>
        <v>37686.800000000003</v>
      </c>
      <c r="G578" s="272">
        <v>0</v>
      </c>
      <c r="H578" s="67">
        <f>9686.8+28000</f>
        <v>37686.800000000003</v>
      </c>
      <c r="I578" s="60">
        <f t="shared" si="108"/>
        <v>100</v>
      </c>
    </row>
    <row r="579" spans="1:9" s="53" customFormat="1" ht="24">
      <c r="A579" s="70" t="s">
        <v>393</v>
      </c>
      <c r="B579" s="71" t="s">
        <v>441</v>
      </c>
      <c r="C579" s="71"/>
      <c r="D579" s="71"/>
      <c r="E579" s="71"/>
      <c r="F579" s="72">
        <f t="shared" ref="F579:H582" si="109">F580</f>
        <v>38905</v>
      </c>
      <c r="G579" s="300">
        <f t="shared" si="109"/>
        <v>29227.416819999999</v>
      </c>
      <c r="H579" s="72">
        <f t="shared" si="109"/>
        <v>34125</v>
      </c>
      <c r="I579" s="72">
        <f t="shared" si="108"/>
        <v>87.713661483099855</v>
      </c>
    </row>
    <row r="580" spans="1:9" s="53" customFormat="1" ht="12">
      <c r="A580" s="58" t="s">
        <v>333</v>
      </c>
      <c r="B580" s="59" t="s">
        <v>441</v>
      </c>
      <c r="C580" s="59" t="s">
        <v>376</v>
      </c>
      <c r="D580" s="59"/>
      <c r="E580" s="59"/>
      <c r="F580" s="60">
        <f t="shared" si="109"/>
        <v>38905</v>
      </c>
      <c r="G580" s="296">
        <f t="shared" si="109"/>
        <v>29227.416819999999</v>
      </c>
      <c r="H580" s="60">
        <f t="shared" si="109"/>
        <v>34125</v>
      </c>
      <c r="I580" s="60">
        <f t="shared" si="108"/>
        <v>87.713661483099855</v>
      </c>
    </row>
    <row r="581" spans="1:9" s="53" customFormat="1" ht="12">
      <c r="A581" s="58" t="s">
        <v>334</v>
      </c>
      <c r="B581" s="59" t="s">
        <v>441</v>
      </c>
      <c r="C581" s="59" t="s">
        <v>376</v>
      </c>
      <c r="D581" s="59" t="s">
        <v>69</v>
      </c>
      <c r="E581" s="59"/>
      <c r="F581" s="60">
        <f t="shared" si="109"/>
        <v>38905</v>
      </c>
      <c r="G581" s="296">
        <f t="shared" si="109"/>
        <v>29227.416819999999</v>
      </c>
      <c r="H581" s="60">
        <f t="shared" si="109"/>
        <v>34125</v>
      </c>
      <c r="I581" s="60">
        <f t="shared" si="108"/>
        <v>87.713661483099855</v>
      </c>
    </row>
    <row r="582" spans="1:9" s="53" customFormat="1" ht="24">
      <c r="A582" s="65" t="s">
        <v>94</v>
      </c>
      <c r="B582" s="66" t="s">
        <v>441</v>
      </c>
      <c r="C582" s="66" t="s">
        <v>376</v>
      </c>
      <c r="D582" s="66" t="s">
        <v>69</v>
      </c>
      <c r="E582" s="66" t="s">
        <v>362</v>
      </c>
      <c r="F582" s="67">
        <f t="shared" si="109"/>
        <v>38905</v>
      </c>
      <c r="G582" s="295">
        <f t="shared" si="109"/>
        <v>29227.416819999999</v>
      </c>
      <c r="H582" s="67">
        <f t="shared" si="109"/>
        <v>34125</v>
      </c>
      <c r="I582" s="67">
        <f t="shared" si="108"/>
        <v>87.713661483099855</v>
      </c>
    </row>
    <row r="583" spans="1:9" s="53" customFormat="1" ht="36">
      <c r="A583" s="65" t="s">
        <v>669</v>
      </c>
      <c r="B583" s="66" t="s">
        <v>441</v>
      </c>
      <c r="C583" s="66" t="s">
        <v>376</v>
      </c>
      <c r="D583" s="66" t="s">
        <v>69</v>
      </c>
      <c r="E583" s="66" t="s">
        <v>403</v>
      </c>
      <c r="F583" s="67">
        <v>38905</v>
      </c>
      <c r="G583" s="295">
        <v>29227.416819999999</v>
      </c>
      <c r="H583" s="67">
        <f>38905-4780</f>
        <v>34125</v>
      </c>
      <c r="I583" s="67">
        <f t="shared" si="108"/>
        <v>87.713661483099855</v>
      </c>
    </row>
    <row r="584" spans="1:9" s="53" customFormat="1" ht="24">
      <c r="A584" s="70" t="s">
        <v>54</v>
      </c>
      <c r="B584" s="71" t="s">
        <v>649</v>
      </c>
      <c r="C584" s="71"/>
      <c r="D584" s="71"/>
      <c r="E584" s="83"/>
      <c r="F584" s="72">
        <f t="shared" ref="F584:H587" si="110">F585</f>
        <v>24791.452000000001</v>
      </c>
      <c r="G584" s="281">
        <f t="shared" si="110"/>
        <v>22140.124820000001</v>
      </c>
      <c r="H584" s="72">
        <f t="shared" si="110"/>
        <v>24791.452000000001</v>
      </c>
      <c r="I584" s="72">
        <f t="shared" si="108"/>
        <v>100</v>
      </c>
    </row>
    <row r="585" spans="1:9" s="53" customFormat="1" ht="12">
      <c r="A585" s="58" t="s">
        <v>333</v>
      </c>
      <c r="B585" s="59" t="s">
        <v>649</v>
      </c>
      <c r="C585" s="59" t="s">
        <v>376</v>
      </c>
      <c r="D585" s="59"/>
      <c r="E585" s="83"/>
      <c r="F585" s="60">
        <f t="shared" si="110"/>
        <v>24791.452000000001</v>
      </c>
      <c r="G585" s="282">
        <f t="shared" si="110"/>
        <v>22140.124820000001</v>
      </c>
      <c r="H585" s="60">
        <f t="shared" si="110"/>
        <v>24791.452000000001</v>
      </c>
      <c r="I585" s="60">
        <f t="shared" si="108"/>
        <v>100</v>
      </c>
    </row>
    <row r="586" spans="1:9" s="53" customFormat="1" ht="12">
      <c r="A586" s="58" t="s">
        <v>336</v>
      </c>
      <c r="B586" s="59" t="s">
        <v>649</v>
      </c>
      <c r="C586" s="59" t="s">
        <v>376</v>
      </c>
      <c r="D586" s="59" t="s">
        <v>423</v>
      </c>
      <c r="E586" s="83"/>
      <c r="F586" s="60">
        <f t="shared" si="110"/>
        <v>24791.452000000001</v>
      </c>
      <c r="G586" s="282">
        <f t="shared" si="110"/>
        <v>22140.124820000001</v>
      </c>
      <c r="H586" s="60">
        <f t="shared" si="110"/>
        <v>24791.452000000001</v>
      </c>
      <c r="I586" s="60">
        <f t="shared" si="108"/>
        <v>100</v>
      </c>
    </row>
    <row r="587" spans="1:9" s="53" customFormat="1" ht="24">
      <c r="A587" s="65" t="s">
        <v>94</v>
      </c>
      <c r="B587" s="66" t="s">
        <v>649</v>
      </c>
      <c r="C587" s="66" t="s">
        <v>376</v>
      </c>
      <c r="D587" s="66" t="s">
        <v>423</v>
      </c>
      <c r="E587" s="66" t="s">
        <v>362</v>
      </c>
      <c r="F587" s="67">
        <f t="shared" si="110"/>
        <v>24791.452000000001</v>
      </c>
      <c r="G587" s="280">
        <f t="shared" si="110"/>
        <v>22140.124820000001</v>
      </c>
      <c r="H587" s="67">
        <f t="shared" si="110"/>
        <v>24791.452000000001</v>
      </c>
      <c r="I587" s="67">
        <f t="shared" si="108"/>
        <v>100</v>
      </c>
    </row>
    <row r="588" spans="1:9" s="53" customFormat="1" ht="12">
      <c r="A588" s="65" t="s">
        <v>95</v>
      </c>
      <c r="B588" s="66" t="s">
        <v>649</v>
      </c>
      <c r="C588" s="66" t="s">
        <v>376</v>
      </c>
      <c r="D588" s="66" t="s">
        <v>423</v>
      </c>
      <c r="E588" s="66" t="s">
        <v>371</v>
      </c>
      <c r="F588" s="67">
        <v>24791.452000000001</v>
      </c>
      <c r="G588" s="280">
        <v>22140.124820000001</v>
      </c>
      <c r="H588" s="67">
        <v>24791.452000000001</v>
      </c>
      <c r="I588" s="67">
        <f t="shared" si="108"/>
        <v>100</v>
      </c>
    </row>
    <row r="589" spans="1:9" s="53" customFormat="1" ht="24">
      <c r="A589" s="85" t="s">
        <v>55</v>
      </c>
      <c r="B589" s="86" t="s">
        <v>653</v>
      </c>
      <c r="C589" s="59"/>
      <c r="D589" s="59"/>
      <c r="E589" s="59"/>
      <c r="F589" s="60">
        <f t="shared" ref="F589:H591" si="111">F590</f>
        <v>14377.3</v>
      </c>
      <c r="G589" s="60">
        <f t="shared" si="111"/>
        <v>11338.6139</v>
      </c>
      <c r="H589" s="60">
        <f t="shared" si="111"/>
        <v>14377.3</v>
      </c>
      <c r="I589" s="60">
        <f t="shared" si="108"/>
        <v>100</v>
      </c>
    </row>
    <row r="590" spans="1:9" s="53" customFormat="1" ht="12">
      <c r="A590" s="58" t="s">
        <v>333</v>
      </c>
      <c r="B590" s="86" t="s">
        <v>653</v>
      </c>
      <c r="C590" s="59" t="s">
        <v>376</v>
      </c>
      <c r="D590" s="59"/>
      <c r="E590" s="59"/>
      <c r="F590" s="60">
        <f t="shared" si="111"/>
        <v>14377.3</v>
      </c>
      <c r="G590" s="60">
        <f t="shared" si="111"/>
        <v>11338.6139</v>
      </c>
      <c r="H590" s="60">
        <f t="shared" si="111"/>
        <v>14377.3</v>
      </c>
      <c r="I590" s="60">
        <f t="shared" si="108"/>
        <v>100</v>
      </c>
    </row>
    <row r="591" spans="1:9" s="53" customFormat="1" ht="12">
      <c r="A591" s="58" t="s">
        <v>337</v>
      </c>
      <c r="B591" s="86" t="s">
        <v>653</v>
      </c>
      <c r="C591" s="59" t="s">
        <v>376</v>
      </c>
      <c r="D591" s="59" t="s">
        <v>376</v>
      </c>
      <c r="E591" s="59"/>
      <c r="F591" s="60">
        <f t="shared" si="111"/>
        <v>14377.3</v>
      </c>
      <c r="G591" s="60">
        <f t="shared" si="111"/>
        <v>11338.6139</v>
      </c>
      <c r="H591" s="60">
        <f t="shared" si="111"/>
        <v>14377.3</v>
      </c>
      <c r="I591" s="60">
        <f t="shared" si="108"/>
        <v>100</v>
      </c>
    </row>
    <row r="592" spans="1:9" s="53" customFormat="1" ht="12">
      <c r="A592" s="87" t="s">
        <v>425</v>
      </c>
      <c r="B592" s="83" t="s">
        <v>653</v>
      </c>
      <c r="C592" s="83" t="s">
        <v>376</v>
      </c>
      <c r="D592" s="83" t="s">
        <v>376</v>
      </c>
      <c r="E592" s="83"/>
      <c r="F592" s="88">
        <f>F593+F595+F597</f>
        <v>14377.3</v>
      </c>
      <c r="G592" s="88">
        <f>G593+G595+G597</f>
        <v>11338.6139</v>
      </c>
      <c r="H592" s="88">
        <f>H593+H595+H597</f>
        <v>14377.3</v>
      </c>
      <c r="I592" s="88">
        <f t="shared" si="108"/>
        <v>100</v>
      </c>
    </row>
    <row r="593" spans="1:9" s="53" customFormat="1" ht="36">
      <c r="A593" s="65" t="s">
        <v>72</v>
      </c>
      <c r="B593" s="66" t="s">
        <v>653</v>
      </c>
      <c r="C593" s="66" t="s">
        <v>376</v>
      </c>
      <c r="D593" s="66" t="s">
        <v>376</v>
      </c>
      <c r="E593" s="66" t="s">
        <v>73</v>
      </c>
      <c r="F593" s="67">
        <f>F594</f>
        <v>10111.9</v>
      </c>
      <c r="G593" s="67">
        <f>G594</f>
        <v>7949.3684300000004</v>
      </c>
      <c r="H593" s="67">
        <f>H594</f>
        <v>10111.9</v>
      </c>
      <c r="I593" s="67">
        <f t="shared" si="108"/>
        <v>100</v>
      </c>
    </row>
    <row r="594" spans="1:9" s="53" customFormat="1" ht="12">
      <c r="A594" s="65" t="s">
        <v>426</v>
      </c>
      <c r="B594" s="66" t="s">
        <v>653</v>
      </c>
      <c r="C594" s="66" t="s">
        <v>376</v>
      </c>
      <c r="D594" s="66" t="s">
        <v>376</v>
      </c>
      <c r="E594" s="66" t="s">
        <v>427</v>
      </c>
      <c r="F594" s="67">
        <v>10111.9</v>
      </c>
      <c r="G594" s="280">
        <v>7949.3684300000004</v>
      </c>
      <c r="H594" s="67">
        <v>10111.9</v>
      </c>
      <c r="I594" s="67">
        <f t="shared" si="108"/>
        <v>100</v>
      </c>
    </row>
    <row r="595" spans="1:9" s="53" customFormat="1" ht="24">
      <c r="A595" s="65" t="s">
        <v>486</v>
      </c>
      <c r="B595" s="66" t="s">
        <v>653</v>
      </c>
      <c r="C595" s="66" t="s">
        <v>376</v>
      </c>
      <c r="D595" s="66" t="s">
        <v>376</v>
      </c>
      <c r="E595" s="66" t="s">
        <v>77</v>
      </c>
      <c r="F595" s="67">
        <f>F596</f>
        <v>3362.4</v>
      </c>
      <c r="G595" s="280">
        <f>G596</f>
        <v>2690.2914700000001</v>
      </c>
      <c r="H595" s="67">
        <f>H596</f>
        <v>3362.4</v>
      </c>
      <c r="I595" s="67">
        <f t="shared" si="108"/>
        <v>100</v>
      </c>
    </row>
    <row r="596" spans="1:9" s="53" customFormat="1" ht="24">
      <c r="A596" s="65" t="s">
        <v>78</v>
      </c>
      <c r="B596" s="66" t="s">
        <v>653</v>
      </c>
      <c r="C596" s="66" t="s">
        <v>376</v>
      </c>
      <c r="D596" s="66" t="s">
        <v>376</v>
      </c>
      <c r="E596" s="66" t="s">
        <v>79</v>
      </c>
      <c r="F596" s="67">
        <v>3362.4</v>
      </c>
      <c r="G596" s="280">
        <v>2690.2914700000001</v>
      </c>
      <c r="H596" s="67">
        <v>3362.4</v>
      </c>
      <c r="I596" s="67">
        <f t="shared" si="108"/>
        <v>100</v>
      </c>
    </row>
    <row r="597" spans="1:9" s="53" customFormat="1" ht="12">
      <c r="A597" s="65" t="s">
        <v>80</v>
      </c>
      <c r="B597" s="66" t="s">
        <v>653</v>
      </c>
      <c r="C597" s="66" t="s">
        <v>376</v>
      </c>
      <c r="D597" s="66" t="s">
        <v>376</v>
      </c>
      <c r="E597" s="66" t="s">
        <v>81</v>
      </c>
      <c r="F597" s="67">
        <f>F598</f>
        <v>903</v>
      </c>
      <c r="G597" s="280">
        <f>G598</f>
        <v>698.95399999999995</v>
      </c>
      <c r="H597" s="67">
        <f>H598</f>
        <v>903</v>
      </c>
      <c r="I597" s="67">
        <f t="shared" si="108"/>
        <v>100</v>
      </c>
    </row>
    <row r="598" spans="1:9" s="53" customFormat="1" ht="12">
      <c r="A598" s="65" t="s">
        <v>445</v>
      </c>
      <c r="B598" s="66" t="s">
        <v>653</v>
      </c>
      <c r="C598" s="66" t="s">
        <v>376</v>
      </c>
      <c r="D598" s="66" t="s">
        <v>376</v>
      </c>
      <c r="E598" s="66" t="s">
        <v>82</v>
      </c>
      <c r="F598" s="67">
        <v>903</v>
      </c>
      <c r="G598" s="280">
        <v>698.95399999999995</v>
      </c>
      <c r="H598" s="67">
        <v>903</v>
      </c>
      <c r="I598" s="67">
        <f t="shared" si="108"/>
        <v>100</v>
      </c>
    </row>
    <row r="599" spans="1:9" s="53" customFormat="1" ht="24">
      <c r="A599" s="70" t="s">
        <v>634</v>
      </c>
      <c r="B599" s="71" t="s">
        <v>635</v>
      </c>
      <c r="C599" s="71"/>
      <c r="D599" s="71"/>
      <c r="E599" s="71"/>
      <c r="F599" s="80">
        <f t="shared" ref="F599:H602" si="112">F600</f>
        <v>2800</v>
      </c>
      <c r="G599" s="299">
        <f t="shared" si="112"/>
        <v>2492.3590899999999</v>
      </c>
      <c r="H599" s="80">
        <f t="shared" si="112"/>
        <v>2800</v>
      </c>
      <c r="I599" s="72">
        <f t="shared" si="108"/>
        <v>100</v>
      </c>
    </row>
    <row r="600" spans="1:9" s="53" customFormat="1" ht="12">
      <c r="A600" s="58" t="s">
        <v>333</v>
      </c>
      <c r="B600" s="59" t="s">
        <v>635</v>
      </c>
      <c r="C600" s="59" t="s">
        <v>376</v>
      </c>
      <c r="D600" s="59"/>
      <c r="E600" s="71"/>
      <c r="F600" s="78">
        <f t="shared" si="112"/>
        <v>2800</v>
      </c>
      <c r="G600" s="273">
        <f t="shared" si="112"/>
        <v>2492.3590899999999</v>
      </c>
      <c r="H600" s="78">
        <f t="shared" si="112"/>
        <v>2800</v>
      </c>
      <c r="I600" s="60">
        <f t="shared" si="108"/>
        <v>100</v>
      </c>
    </row>
    <row r="601" spans="1:9" s="53" customFormat="1" ht="12">
      <c r="A601" s="58" t="s">
        <v>334</v>
      </c>
      <c r="B601" s="59" t="s">
        <v>635</v>
      </c>
      <c r="C601" s="59" t="s">
        <v>376</v>
      </c>
      <c r="D601" s="59" t="s">
        <v>69</v>
      </c>
      <c r="E601" s="71"/>
      <c r="F601" s="78">
        <f t="shared" si="112"/>
        <v>2800</v>
      </c>
      <c r="G601" s="273">
        <f t="shared" si="112"/>
        <v>2492.3590899999999</v>
      </c>
      <c r="H601" s="78">
        <f t="shared" si="112"/>
        <v>2800</v>
      </c>
      <c r="I601" s="60">
        <f t="shared" si="108"/>
        <v>100</v>
      </c>
    </row>
    <row r="602" spans="1:9" s="53" customFormat="1" ht="24">
      <c r="A602" s="65" t="s">
        <v>486</v>
      </c>
      <c r="B602" s="66" t="s">
        <v>635</v>
      </c>
      <c r="C602" s="66" t="s">
        <v>376</v>
      </c>
      <c r="D602" s="66" t="s">
        <v>69</v>
      </c>
      <c r="E602" s="66" t="s">
        <v>77</v>
      </c>
      <c r="F602" s="79">
        <f t="shared" si="112"/>
        <v>2800</v>
      </c>
      <c r="G602" s="272">
        <f t="shared" si="112"/>
        <v>2492.3590899999999</v>
      </c>
      <c r="H602" s="79">
        <f t="shared" si="112"/>
        <v>2800</v>
      </c>
      <c r="I602" s="67">
        <f t="shared" si="108"/>
        <v>100</v>
      </c>
    </row>
    <row r="603" spans="1:9" s="53" customFormat="1" ht="24">
      <c r="A603" s="65" t="s">
        <v>78</v>
      </c>
      <c r="B603" s="66" t="s">
        <v>635</v>
      </c>
      <c r="C603" s="66" t="s">
        <v>376</v>
      </c>
      <c r="D603" s="66" t="s">
        <v>69</v>
      </c>
      <c r="E603" s="66" t="s">
        <v>79</v>
      </c>
      <c r="F603" s="79">
        <v>2800</v>
      </c>
      <c r="G603" s="272">
        <v>2492.3590899999999</v>
      </c>
      <c r="H603" s="79">
        <v>2800</v>
      </c>
      <c r="I603" s="67">
        <f t="shared" si="108"/>
        <v>100</v>
      </c>
    </row>
    <row r="604" spans="1:9" s="53" customFormat="1" ht="48">
      <c r="A604" s="84" t="s">
        <v>318</v>
      </c>
      <c r="B604" s="71" t="s">
        <v>650</v>
      </c>
      <c r="C604" s="71"/>
      <c r="D604" s="71"/>
      <c r="E604" s="71"/>
      <c r="F604" s="80">
        <f t="shared" ref="F604:H607" si="113">F605</f>
        <v>10600</v>
      </c>
      <c r="G604" s="299">
        <f t="shared" si="113"/>
        <v>10599.53095</v>
      </c>
      <c r="H604" s="80">
        <f t="shared" si="113"/>
        <v>10599.53095</v>
      </c>
      <c r="I604" s="72">
        <f t="shared" si="108"/>
        <v>99.995575000000002</v>
      </c>
    </row>
    <row r="605" spans="1:9" s="53" customFormat="1" ht="12">
      <c r="A605" s="58" t="s">
        <v>333</v>
      </c>
      <c r="B605" s="59" t="s">
        <v>650</v>
      </c>
      <c r="C605" s="59" t="s">
        <v>376</v>
      </c>
      <c r="D605" s="59"/>
      <c r="E605" s="71"/>
      <c r="F605" s="78">
        <f t="shared" si="113"/>
        <v>10600</v>
      </c>
      <c r="G605" s="273">
        <f t="shared" si="113"/>
        <v>10599.53095</v>
      </c>
      <c r="H605" s="78">
        <f t="shared" si="113"/>
        <v>10599.53095</v>
      </c>
      <c r="I605" s="60">
        <f t="shared" si="108"/>
        <v>99.995575000000002</v>
      </c>
    </row>
    <row r="606" spans="1:9" s="53" customFormat="1" ht="12">
      <c r="A606" s="58" t="s">
        <v>336</v>
      </c>
      <c r="B606" s="59" t="s">
        <v>650</v>
      </c>
      <c r="C606" s="59" t="s">
        <v>376</v>
      </c>
      <c r="D606" s="59" t="s">
        <v>423</v>
      </c>
      <c r="E606" s="71"/>
      <c r="F606" s="78">
        <f t="shared" si="113"/>
        <v>10600</v>
      </c>
      <c r="G606" s="273">
        <f t="shared" si="113"/>
        <v>10599.53095</v>
      </c>
      <c r="H606" s="78">
        <f t="shared" si="113"/>
        <v>10599.53095</v>
      </c>
      <c r="I606" s="60">
        <f t="shared" si="108"/>
        <v>99.995575000000002</v>
      </c>
    </row>
    <row r="607" spans="1:9" s="53" customFormat="1" ht="12">
      <c r="A607" s="65" t="s">
        <v>80</v>
      </c>
      <c r="B607" s="66" t="s">
        <v>650</v>
      </c>
      <c r="C607" s="66" t="s">
        <v>376</v>
      </c>
      <c r="D607" s="66" t="s">
        <v>423</v>
      </c>
      <c r="E607" s="66" t="s">
        <v>81</v>
      </c>
      <c r="F607" s="79">
        <f t="shared" si="113"/>
        <v>10600</v>
      </c>
      <c r="G607" s="272">
        <f t="shared" si="113"/>
        <v>10599.53095</v>
      </c>
      <c r="H607" s="79">
        <f t="shared" si="113"/>
        <v>10599.53095</v>
      </c>
      <c r="I607" s="67">
        <f t="shared" si="108"/>
        <v>99.995575000000002</v>
      </c>
    </row>
    <row r="608" spans="1:9" s="53" customFormat="1" ht="24">
      <c r="A608" s="65" t="s">
        <v>485</v>
      </c>
      <c r="B608" s="66" t="s">
        <v>650</v>
      </c>
      <c r="C608" s="66" t="s">
        <v>376</v>
      </c>
      <c r="D608" s="66" t="s">
        <v>423</v>
      </c>
      <c r="E608" s="66" t="s">
        <v>374</v>
      </c>
      <c r="F608" s="79">
        <f>34000-15605-7795</f>
        <v>10600</v>
      </c>
      <c r="G608" s="272">
        <v>10599.53095</v>
      </c>
      <c r="H608" s="79">
        <v>10599.53095</v>
      </c>
      <c r="I608" s="67">
        <f t="shared" si="108"/>
        <v>99.995575000000002</v>
      </c>
    </row>
    <row r="609" spans="1:9" s="53" customFormat="1" ht="12">
      <c r="A609" s="70" t="s">
        <v>651</v>
      </c>
      <c r="B609" s="71" t="s">
        <v>652</v>
      </c>
      <c r="C609" s="71"/>
      <c r="D609" s="71"/>
      <c r="E609" s="71"/>
      <c r="F609" s="72">
        <f t="shared" ref="F609:H612" si="114">F610</f>
        <v>99000</v>
      </c>
      <c r="G609" s="281">
        <f t="shared" si="114"/>
        <v>68127.214380000005</v>
      </c>
      <c r="H609" s="72">
        <f t="shared" si="114"/>
        <v>94000</v>
      </c>
      <c r="I609" s="72">
        <f t="shared" si="108"/>
        <v>94.949494949494948</v>
      </c>
    </row>
    <row r="610" spans="1:9" s="53" customFormat="1" ht="12">
      <c r="A610" s="58" t="s">
        <v>333</v>
      </c>
      <c r="B610" s="59" t="s">
        <v>652</v>
      </c>
      <c r="C610" s="59" t="s">
        <v>376</v>
      </c>
      <c r="D610" s="59"/>
      <c r="E610" s="59"/>
      <c r="F610" s="60">
        <f t="shared" si="114"/>
        <v>99000</v>
      </c>
      <c r="G610" s="282">
        <f t="shared" si="114"/>
        <v>68127.214380000005</v>
      </c>
      <c r="H610" s="60">
        <f t="shared" si="114"/>
        <v>94000</v>
      </c>
      <c r="I610" s="60">
        <f t="shared" si="108"/>
        <v>94.949494949494948</v>
      </c>
    </row>
    <row r="611" spans="1:9" s="53" customFormat="1" ht="12">
      <c r="A611" s="58" t="s">
        <v>336</v>
      </c>
      <c r="B611" s="59" t="s">
        <v>652</v>
      </c>
      <c r="C611" s="59" t="s">
        <v>376</v>
      </c>
      <c r="D611" s="59" t="s">
        <v>423</v>
      </c>
      <c r="E611" s="59"/>
      <c r="F611" s="60">
        <f t="shared" si="114"/>
        <v>99000</v>
      </c>
      <c r="G611" s="282">
        <f t="shared" si="114"/>
        <v>68127.214380000005</v>
      </c>
      <c r="H611" s="60">
        <f t="shared" si="114"/>
        <v>94000</v>
      </c>
      <c r="I611" s="60">
        <f t="shared" si="108"/>
        <v>94.949494949494948</v>
      </c>
    </row>
    <row r="612" spans="1:9" s="53" customFormat="1" ht="24">
      <c r="A612" s="65" t="s">
        <v>486</v>
      </c>
      <c r="B612" s="66" t="s">
        <v>652</v>
      </c>
      <c r="C612" s="66" t="s">
        <v>376</v>
      </c>
      <c r="D612" s="66" t="s">
        <v>423</v>
      </c>
      <c r="E612" s="66" t="s">
        <v>77</v>
      </c>
      <c r="F612" s="67">
        <f t="shared" si="114"/>
        <v>99000</v>
      </c>
      <c r="G612" s="280">
        <f t="shared" si="114"/>
        <v>68127.214380000005</v>
      </c>
      <c r="H612" s="67">
        <f t="shared" si="114"/>
        <v>94000</v>
      </c>
      <c r="I612" s="67">
        <f t="shared" si="108"/>
        <v>94.949494949494948</v>
      </c>
    </row>
    <row r="613" spans="1:9" s="53" customFormat="1" ht="24">
      <c r="A613" s="65" t="s">
        <v>78</v>
      </c>
      <c r="B613" s="66" t="s">
        <v>652</v>
      </c>
      <c r="C613" s="66" t="s">
        <v>376</v>
      </c>
      <c r="D613" s="66" t="s">
        <v>423</v>
      </c>
      <c r="E613" s="66" t="s">
        <v>79</v>
      </c>
      <c r="F613" s="67">
        <v>99000</v>
      </c>
      <c r="G613" s="280">
        <v>68127.214380000005</v>
      </c>
      <c r="H613" s="67">
        <f>99000-5000</f>
        <v>94000</v>
      </c>
      <c r="I613" s="67">
        <f t="shared" si="108"/>
        <v>94.949494949494948</v>
      </c>
    </row>
    <row r="614" spans="1:9" s="53" customFormat="1" ht="12">
      <c r="A614" s="70" t="s">
        <v>647</v>
      </c>
      <c r="B614" s="71" t="s">
        <v>648</v>
      </c>
      <c r="C614" s="71"/>
      <c r="D614" s="71"/>
      <c r="E614" s="71"/>
      <c r="F614" s="72">
        <f t="shared" ref="F614:H617" si="115">F615</f>
        <v>5000</v>
      </c>
      <c r="G614" s="299">
        <f t="shared" si="115"/>
        <v>0</v>
      </c>
      <c r="H614" s="72">
        <f t="shared" si="115"/>
        <v>2000</v>
      </c>
      <c r="I614" s="72">
        <f t="shared" si="108"/>
        <v>40</v>
      </c>
    </row>
    <row r="615" spans="1:9" s="53" customFormat="1" ht="12">
      <c r="A615" s="58" t="s">
        <v>333</v>
      </c>
      <c r="B615" s="59" t="s">
        <v>648</v>
      </c>
      <c r="C615" s="59" t="s">
        <v>376</v>
      </c>
      <c r="D615" s="59"/>
      <c r="E615" s="59"/>
      <c r="F615" s="60">
        <f t="shared" si="115"/>
        <v>5000</v>
      </c>
      <c r="G615" s="273">
        <f t="shared" si="115"/>
        <v>0</v>
      </c>
      <c r="H615" s="60">
        <f t="shared" si="115"/>
        <v>2000</v>
      </c>
      <c r="I615" s="60">
        <f t="shared" si="108"/>
        <v>40</v>
      </c>
    </row>
    <row r="616" spans="1:9" s="53" customFormat="1" ht="12">
      <c r="A616" s="58" t="s">
        <v>335</v>
      </c>
      <c r="B616" s="59" t="s">
        <v>648</v>
      </c>
      <c r="C616" s="59" t="s">
        <v>376</v>
      </c>
      <c r="D616" s="59" t="s">
        <v>431</v>
      </c>
      <c r="E616" s="59"/>
      <c r="F616" s="60">
        <f t="shared" si="115"/>
        <v>5000</v>
      </c>
      <c r="G616" s="273">
        <f t="shared" si="115"/>
        <v>0</v>
      </c>
      <c r="H616" s="60">
        <f t="shared" si="115"/>
        <v>2000</v>
      </c>
      <c r="I616" s="60">
        <f t="shared" si="108"/>
        <v>40</v>
      </c>
    </row>
    <row r="617" spans="1:9" s="53" customFormat="1" ht="24">
      <c r="A617" s="65" t="s">
        <v>486</v>
      </c>
      <c r="B617" s="66" t="s">
        <v>648</v>
      </c>
      <c r="C617" s="66" t="s">
        <v>376</v>
      </c>
      <c r="D617" s="66" t="s">
        <v>431</v>
      </c>
      <c r="E617" s="66" t="s">
        <v>77</v>
      </c>
      <c r="F617" s="67">
        <f t="shared" si="115"/>
        <v>5000</v>
      </c>
      <c r="G617" s="272">
        <f t="shared" si="115"/>
        <v>0</v>
      </c>
      <c r="H617" s="67">
        <f t="shared" si="115"/>
        <v>2000</v>
      </c>
      <c r="I617" s="67">
        <f t="shared" si="108"/>
        <v>40</v>
      </c>
    </row>
    <row r="618" spans="1:9" s="53" customFormat="1" ht="24">
      <c r="A618" s="65" t="s">
        <v>78</v>
      </c>
      <c r="B618" s="66" t="s">
        <v>648</v>
      </c>
      <c r="C618" s="66" t="s">
        <v>376</v>
      </c>
      <c r="D618" s="66" t="s">
        <v>431</v>
      </c>
      <c r="E618" s="66" t="s">
        <v>79</v>
      </c>
      <c r="F618" s="67">
        <v>5000</v>
      </c>
      <c r="G618" s="272">
        <v>0</v>
      </c>
      <c r="H618" s="67">
        <f>5000-3000</f>
        <v>2000</v>
      </c>
      <c r="I618" s="67">
        <f t="shared" si="108"/>
        <v>40</v>
      </c>
    </row>
    <row r="619" spans="1:9" s="53" customFormat="1" ht="24">
      <c r="A619" s="58" t="s">
        <v>222</v>
      </c>
      <c r="B619" s="59" t="s">
        <v>114</v>
      </c>
      <c r="C619" s="59"/>
      <c r="D619" s="59"/>
      <c r="E619" s="66"/>
      <c r="F619" s="60">
        <f>F620</f>
        <v>14850</v>
      </c>
      <c r="G619" s="60">
        <f>G620</f>
        <v>11351.86924</v>
      </c>
      <c r="H619" s="60">
        <f>H620</f>
        <v>14850</v>
      </c>
      <c r="I619" s="60">
        <f t="shared" si="108"/>
        <v>100</v>
      </c>
    </row>
    <row r="620" spans="1:9" s="53" customFormat="1" ht="36">
      <c r="A620" s="70" t="s">
        <v>364</v>
      </c>
      <c r="B620" s="71" t="s">
        <v>114</v>
      </c>
      <c r="C620" s="71"/>
      <c r="D620" s="71"/>
      <c r="E620" s="71"/>
      <c r="F620" s="72">
        <f>F621+F626</f>
        <v>14850</v>
      </c>
      <c r="G620" s="72">
        <f>G621+G626</f>
        <v>11351.86924</v>
      </c>
      <c r="H620" s="72">
        <f>H621+H626</f>
        <v>14850</v>
      </c>
      <c r="I620" s="72">
        <f t="shared" si="108"/>
        <v>100</v>
      </c>
    </row>
    <row r="621" spans="1:9" s="53" customFormat="1" ht="24">
      <c r="A621" s="73" t="s">
        <v>347</v>
      </c>
      <c r="B621" s="59" t="s">
        <v>442</v>
      </c>
      <c r="C621" s="59"/>
      <c r="D621" s="59"/>
      <c r="E621" s="59"/>
      <c r="F621" s="60">
        <f t="shared" ref="F621:H624" si="116">F622</f>
        <v>13900</v>
      </c>
      <c r="G621" s="60">
        <f t="shared" si="116"/>
        <v>10595.808940000001</v>
      </c>
      <c r="H621" s="60">
        <f t="shared" si="116"/>
        <v>13900</v>
      </c>
      <c r="I621" s="60">
        <f t="shared" si="108"/>
        <v>100</v>
      </c>
    </row>
    <row r="622" spans="1:9" s="53" customFormat="1" ht="12">
      <c r="A622" s="58" t="s">
        <v>333</v>
      </c>
      <c r="B622" s="59" t="s">
        <v>442</v>
      </c>
      <c r="C622" s="59" t="s">
        <v>376</v>
      </c>
      <c r="D622" s="59"/>
      <c r="E622" s="59"/>
      <c r="F622" s="60">
        <f t="shared" si="116"/>
        <v>13900</v>
      </c>
      <c r="G622" s="60">
        <f t="shared" si="116"/>
        <v>10595.808940000001</v>
      </c>
      <c r="H622" s="60">
        <f t="shared" si="116"/>
        <v>13900</v>
      </c>
      <c r="I622" s="60">
        <f t="shared" si="108"/>
        <v>100</v>
      </c>
    </row>
    <row r="623" spans="1:9" s="53" customFormat="1" ht="12">
      <c r="A623" s="58" t="s">
        <v>700</v>
      </c>
      <c r="B623" s="59" t="s">
        <v>442</v>
      </c>
      <c r="C623" s="59" t="s">
        <v>376</v>
      </c>
      <c r="D623" s="59" t="s">
        <v>376</v>
      </c>
      <c r="E623" s="59"/>
      <c r="F623" s="60">
        <f t="shared" si="116"/>
        <v>13900</v>
      </c>
      <c r="G623" s="60">
        <f t="shared" si="116"/>
        <v>10595.808940000001</v>
      </c>
      <c r="H623" s="60">
        <f t="shared" si="116"/>
        <v>13900</v>
      </c>
      <c r="I623" s="60">
        <f t="shared" si="108"/>
        <v>100</v>
      </c>
    </row>
    <row r="624" spans="1:9" s="53" customFormat="1" ht="36">
      <c r="A624" s="65" t="s">
        <v>72</v>
      </c>
      <c r="B624" s="66" t="s">
        <v>442</v>
      </c>
      <c r="C624" s="66" t="s">
        <v>376</v>
      </c>
      <c r="D624" s="66" t="s">
        <v>376</v>
      </c>
      <c r="E624" s="66" t="s">
        <v>73</v>
      </c>
      <c r="F624" s="67">
        <f t="shared" si="116"/>
        <v>13900</v>
      </c>
      <c r="G624" s="280">
        <f t="shared" si="116"/>
        <v>10595.808940000001</v>
      </c>
      <c r="H624" s="67">
        <f t="shared" si="116"/>
        <v>13900</v>
      </c>
      <c r="I624" s="67">
        <f t="shared" si="108"/>
        <v>100</v>
      </c>
    </row>
    <row r="625" spans="1:9" s="53" customFormat="1" ht="12">
      <c r="A625" s="65" t="s">
        <v>74</v>
      </c>
      <c r="B625" s="66" t="s">
        <v>442</v>
      </c>
      <c r="C625" s="66" t="s">
        <v>376</v>
      </c>
      <c r="D625" s="66" t="s">
        <v>376</v>
      </c>
      <c r="E625" s="66" t="s">
        <v>75</v>
      </c>
      <c r="F625" s="67">
        <v>13900</v>
      </c>
      <c r="G625" s="280">
        <v>10595.808940000001</v>
      </c>
      <c r="H625" s="67">
        <v>13900</v>
      </c>
      <c r="I625" s="67">
        <f t="shared" si="108"/>
        <v>100</v>
      </c>
    </row>
    <row r="626" spans="1:9" s="53" customFormat="1" ht="12">
      <c r="A626" s="58" t="s">
        <v>76</v>
      </c>
      <c r="B626" s="59" t="s">
        <v>443</v>
      </c>
      <c r="C626" s="59"/>
      <c r="D626" s="59"/>
      <c r="E626" s="59"/>
      <c r="F626" s="60">
        <f t="shared" ref="F626:H627" si="117">F627</f>
        <v>950</v>
      </c>
      <c r="G626" s="282">
        <f t="shared" si="117"/>
        <v>756.06029999999998</v>
      </c>
      <c r="H626" s="60">
        <f t="shared" si="117"/>
        <v>950</v>
      </c>
      <c r="I626" s="60">
        <f t="shared" si="108"/>
        <v>100</v>
      </c>
    </row>
    <row r="627" spans="1:9" s="53" customFormat="1" ht="12">
      <c r="A627" s="58" t="s">
        <v>333</v>
      </c>
      <c r="B627" s="59" t="s">
        <v>443</v>
      </c>
      <c r="C627" s="59" t="s">
        <v>376</v>
      </c>
      <c r="D627" s="59"/>
      <c r="E627" s="59"/>
      <c r="F627" s="60">
        <f t="shared" si="117"/>
        <v>950</v>
      </c>
      <c r="G627" s="282">
        <f t="shared" si="117"/>
        <v>756.06029999999998</v>
      </c>
      <c r="H627" s="60">
        <f t="shared" si="117"/>
        <v>950</v>
      </c>
      <c r="I627" s="60">
        <f t="shared" si="108"/>
        <v>100</v>
      </c>
    </row>
    <row r="628" spans="1:9" s="53" customFormat="1" ht="12">
      <c r="A628" s="58" t="s">
        <v>700</v>
      </c>
      <c r="B628" s="59" t="s">
        <v>443</v>
      </c>
      <c r="C628" s="59" t="s">
        <v>376</v>
      </c>
      <c r="D628" s="59" t="s">
        <v>376</v>
      </c>
      <c r="E628" s="59"/>
      <c r="F628" s="60">
        <f>F629+F631</f>
        <v>950</v>
      </c>
      <c r="G628" s="282">
        <f>G629+G631</f>
        <v>756.06029999999998</v>
      </c>
      <c r="H628" s="60">
        <f>H629+H631</f>
        <v>950</v>
      </c>
      <c r="I628" s="60">
        <f t="shared" si="108"/>
        <v>100</v>
      </c>
    </row>
    <row r="629" spans="1:9" s="53" customFormat="1" ht="24">
      <c r="A629" s="65" t="s">
        <v>486</v>
      </c>
      <c r="B629" s="66" t="s">
        <v>443</v>
      </c>
      <c r="C629" s="66" t="s">
        <v>376</v>
      </c>
      <c r="D629" s="66" t="s">
        <v>376</v>
      </c>
      <c r="E629" s="66" t="s">
        <v>77</v>
      </c>
      <c r="F629" s="67">
        <f>F630</f>
        <v>920</v>
      </c>
      <c r="G629" s="280">
        <f>G630</f>
        <v>755.34929999999997</v>
      </c>
      <c r="H629" s="67">
        <f>H630</f>
        <v>920</v>
      </c>
      <c r="I629" s="67">
        <f t="shared" si="108"/>
        <v>100</v>
      </c>
    </row>
    <row r="630" spans="1:9" s="53" customFormat="1" ht="24">
      <c r="A630" s="65" t="s">
        <v>78</v>
      </c>
      <c r="B630" s="66" t="s">
        <v>443</v>
      </c>
      <c r="C630" s="66" t="s">
        <v>376</v>
      </c>
      <c r="D630" s="66" t="s">
        <v>376</v>
      </c>
      <c r="E630" s="66" t="s">
        <v>79</v>
      </c>
      <c r="F630" s="67">
        <v>920</v>
      </c>
      <c r="G630" s="280">
        <v>755.34929999999997</v>
      </c>
      <c r="H630" s="67">
        <v>920</v>
      </c>
      <c r="I630" s="67">
        <f t="shared" si="108"/>
        <v>100</v>
      </c>
    </row>
    <row r="631" spans="1:9" s="53" customFormat="1" ht="12">
      <c r="A631" s="65" t="s">
        <v>80</v>
      </c>
      <c r="B631" s="66" t="s">
        <v>443</v>
      </c>
      <c r="C631" s="66" t="s">
        <v>376</v>
      </c>
      <c r="D631" s="66" t="s">
        <v>376</v>
      </c>
      <c r="E631" s="66" t="s">
        <v>81</v>
      </c>
      <c r="F631" s="67">
        <f>F632</f>
        <v>30</v>
      </c>
      <c r="G631" s="280">
        <f>G632</f>
        <v>0.71099999999999997</v>
      </c>
      <c r="H631" s="67">
        <f>H632</f>
        <v>30</v>
      </c>
      <c r="I631" s="67">
        <f t="shared" si="108"/>
        <v>100</v>
      </c>
    </row>
    <row r="632" spans="1:9" s="25" customFormat="1" ht="15">
      <c r="A632" s="65" t="s">
        <v>445</v>
      </c>
      <c r="B632" s="66" t="s">
        <v>443</v>
      </c>
      <c r="C632" s="66" t="s">
        <v>376</v>
      </c>
      <c r="D632" s="66" t="s">
        <v>376</v>
      </c>
      <c r="E632" s="66" t="s">
        <v>82</v>
      </c>
      <c r="F632" s="67">
        <v>30</v>
      </c>
      <c r="G632" s="280">
        <v>0.71099999999999997</v>
      </c>
      <c r="H632" s="67">
        <v>30</v>
      </c>
      <c r="I632" s="67">
        <f t="shared" si="108"/>
        <v>100</v>
      </c>
    </row>
    <row r="633" spans="1:9" s="25" customFormat="1" ht="27">
      <c r="A633" s="138" t="s">
        <v>674</v>
      </c>
      <c r="B633" s="137" t="s">
        <v>243</v>
      </c>
      <c r="C633" s="137"/>
      <c r="D633" s="137"/>
      <c r="E633" s="137"/>
      <c r="F633" s="136">
        <f>F634+F639+F644+F649+F654+F659+F664+F674+F679+F684+F689+F694+F699+F704+F709+F714+F669+F719+F724+F729</f>
        <v>415082.34139000002</v>
      </c>
      <c r="G633" s="136">
        <f>G634+G639+G644+G649+G654+G659+G664+G674+G679+G684+G689+G694+G699+G704+G709+G714+G669+G719+G724+G729</f>
        <v>245451.13584999999</v>
      </c>
      <c r="H633" s="136">
        <f>H634+H639+H644+H649+H654+H659+H664+H674+H679+H684+H689+H694+H699+H704+H709+H714+H669+H719+H724+H729</f>
        <v>380910.24073000002</v>
      </c>
      <c r="I633" s="136">
        <f t="shared" si="108"/>
        <v>91.767392333394199</v>
      </c>
    </row>
    <row r="634" spans="1:9" s="25" customFormat="1" ht="15">
      <c r="A634" s="58" t="s">
        <v>200</v>
      </c>
      <c r="B634" s="59" t="s">
        <v>611</v>
      </c>
      <c r="C634" s="59"/>
      <c r="D634" s="59"/>
      <c r="E634" s="59"/>
      <c r="F634" s="60">
        <f t="shared" ref="F634:H637" si="118">F635</f>
        <v>7227.85</v>
      </c>
      <c r="G634" s="282">
        <f t="shared" si="118"/>
        <v>1427.596</v>
      </c>
      <c r="H634" s="60">
        <f t="shared" si="118"/>
        <v>5955.75</v>
      </c>
      <c r="I634" s="60">
        <f t="shared" si="108"/>
        <v>82.400022136596633</v>
      </c>
    </row>
    <row r="635" spans="1:9" s="25" customFormat="1" ht="15">
      <c r="A635" s="58" t="s">
        <v>321</v>
      </c>
      <c r="B635" s="59" t="s">
        <v>611</v>
      </c>
      <c r="C635" s="59" t="s">
        <v>71</v>
      </c>
      <c r="D635" s="59"/>
      <c r="E635" s="59"/>
      <c r="F635" s="60">
        <f t="shared" si="118"/>
        <v>7227.85</v>
      </c>
      <c r="G635" s="282">
        <f t="shared" si="118"/>
        <v>1427.596</v>
      </c>
      <c r="H635" s="60">
        <f t="shared" si="118"/>
        <v>5955.75</v>
      </c>
      <c r="I635" s="60">
        <f t="shared" si="108"/>
        <v>82.400022136596633</v>
      </c>
    </row>
    <row r="636" spans="1:9" s="25" customFormat="1" ht="15">
      <c r="A636" s="58" t="s">
        <v>699</v>
      </c>
      <c r="B636" s="59" t="s">
        <v>611</v>
      </c>
      <c r="C636" s="59" t="s">
        <v>71</v>
      </c>
      <c r="D636" s="59" t="s">
        <v>429</v>
      </c>
      <c r="E636" s="59"/>
      <c r="F636" s="60">
        <f t="shared" si="118"/>
        <v>7227.85</v>
      </c>
      <c r="G636" s="282">
        <f t="shared" si="118"/>
        <v>1427.596</v>
      </c>
      <c r="H636" s="60">
        <f t="shared" si="118"/>
        <v>5955.75</v>
      </c>
      <c r="I636" s="60">
        <f t="shared" si="108"/>
        <v>82.400022136596633</v>
      </c>
    </row>
    <row r="637" spans="1:9" s="25" customFormat="1" ht="24">
      <c r="A637" s="65" t="s">
        <v>486</v>
      </c>
      <c r="B637" s="66" t="s">
        <v>611</v>
      </c>
      <c r="C637" s="66" t="s">
        <v>71</v>
      </c>
      <c r="D637" s="66" t="s">
        <v>429</v>
      </c>
      <c r="E637" s="66" t="s">
        <v>77</v>
      </c>
      <c r="F637" s="67">
        <f t="shared" si="118"/>
        <v>7227.85</v>
      </c>
      <c r="G637" s="280">
        <f t="shared" si="118"/>
        <v>1427.596</v>
      </c>
      <c r="H637" s="67">
        <f t="shared" si="118"/>
        <v>5955.75</v>
      </c>
      <c r="I637" s="67">
        <f t="shared" si="108"/>
        <v>82.400022136596633</v>
      </c>
    </row>
    <row r="638" spans="1:9" s="25" customFormat="1" ht="24">
      <c r="A638" s="65" t="s">
        <v>78</v>
      </c>
      <c r="B638" s="66" t="s">
        <v>611</v>
      </c>
      <c r="C638" s="66" t="s">
        <v>71</v>
      </c>
      <c r="D638" s="66" t="s">
        <v>429</v>
      </c>
      <c r="E638" s="66" t="s">
        <v>79</v>
      </c>
      <c r="F638" s="67">
        <v>7227.85</v>
      </c>
      <c r="G638" s="280">
        <v>1427.596</v>
      </c>
      <c r="H638" s="67">
        <f>7227.85-1272.1</f>
        <v>5955.75</v>
      </c>
      <c r="I638" s="67">
        <f t="shared" si="108"/>
        <v>82.400022136596633</v>
      </c>
    </row>
    <row r="639" spans="1:9" s="25" customFormat="1" ht="15">
      <c r="A639" s="85" t="s">
        <v>120</v>
      </c>
      <c r="B639" s="59" t="s">
        <v>612</v>
      </c>
      <c r="C639" s="59"/>
      <c r="D639" s="59"/>
      <c r="E639" s="59"/>
      <c r="F639" s="60">
        <f t="shared" ref="F639:H642" si="119">F640</f>
        <v>100</v>
      </c>
      <c r="G639" s="282">
        <f t="shared" si="119"/>
        <v>20.823</v>
      </c>
      <c r="H639" s="60">
        <f t="shared" si="119"/>
        <v>100</v>
      </c>
      <c r="I639" s="60">
        <f t="shared" ref="I639:I702" si="120">H639/F639*100</f>
        <v>100</v>
      </c>
    </row>
    <row r="640" spans="1:9" s="25" customFormat="1" ht="15">
      <c r="A640" s="85" t="s">
        <v>321</v>
      </c>
      <c r="B640" s="59" t="s">
        <v>612</v>
      </c>
      <c r="C640" s="59" t="s">
        <v>71</v>
      </c>
      <c r="D640" s="59"/>
      <c r="E640" s="59"/>
      <c r="F640" s="60">
        <f t="shared" si="119"/>
        <v>100</v>
      </c>
      <c r="G640" s="282">
        <f t="shared" si="119"/>
        <v>20.823</v>
      </c>
      <c r="H640" s="60">
        <f t="shared" si="119"/>
        <v>100</v>
      </c>
      <c r="I640" s="60">
        <f t="shared" si="120"/>
        <v>100</v>
      </c>
    </row>
    <row r="641" spans="1:9" s="25" customFormat="1" ht="15">
      <c r="A641" s="85" t="s">
        <v>699</v>
      </c>
      <c r="B641" s="59" t="s">
        <v>612</v>
      </c>
      <c r="C641" s="59" t="s">
        <v>71</v>
      </c>
      <c r="D641" s="59" t="s">
        <v>429</v>
      </c>
      <c r="E641" s="59"/>
      <c r="F641" s="60">
        <f t="shared" si="119"/>
        <v>100</v>
      </c>
      <c r="G641" s="282">
        <f t="shared" si="119"/>
        <v>20.823</v>
      </c>
      <c r="H641" s="60">
        <f t="shared" si="119"/>
        <v>100</v>
      </c>
      <c r="I641" s="60">
        <f t="shared" si="120"/>
        <v>100</v>
      </c>
    </row>
    <row r="642" spans="1:9" s="25" customFormat="1" ht="24">
      <c r="A642" s="65" t="s">
        <v>486</v>
      </c>
      <c r="B642" s="66" t="s">
        <v>612</v>
      </c>
      <c r="C642" s="66" t="s">
        <v>71</v>
      </c>
      <c r="D642" s="66" t="s">
        <v>429</v>
      </c>
      <c r="E642" s="66" t="s">
        <v>77</v>
      </c>
      <c r="F642" s="67">
        <f t="shared" si="119"/>
        <v>100</v>
      </c>
      <c r="G642" s="280">
        <f t="shared" si="119"/>
        <v>20.823</v>
      </c>
      <c r="H642" s="67">
        <f t="shared" si="119"/>
        <v>100</v>
      </c>
      <c r="I642" s="67">
        <f t="shared" si="120"/>
        <v>100</v>
      </c>
    </row>
    <row r="643" spans="1:9" s="25" customFormat="1" ht="24">
      <c r="A643" s="65" t="s">
        <v>78</v>
      </c>
      <c r="B643" s="66" t="s">
        <v>612</v>
      </c>
      <c r="C643" s="66" t="s">
        <v>71</v>
      </c>
      <c r="D643" s="66" t="s">
        <v>429</v>
      </c>
      <c r="E643" s="66" t="s">
        <v>79</v>
      </c>
      <c r="F643" s="67">
        <v>100</v>
      </c>
      <c r="G643" s="280">
        <v>20.823</v>
      </c>
      <c r="H643" s="67">
        <v>100</v>
      </c>
      <c r="I643" s="67">
        <f t="shared" si="120"/>
        <v>100</v>
      </c>
    </row>
    <row r="644" spans="1:9" s="25" customFormat="1" ht="15">
      <c r="A644" s="85" t="s">
        <v>120</v>
      </c>
      <c r="B644" s="59" t="s">
        <v>612</v>
      </c>
      <c r="C644" s="59"/>
      <c r="D644" s="59"/>
      <c r="E644" s="59"/>
      <c r="F644" s="78">
        <f t="shared" ref="F644:H647" si="121">F645</f>
        <v>300</v>
      </c>
      <c r="G644" s="273">
        <f t="shared" si="121"/>
        <v>30</v>
      </c>
      <c r="H644" s="78">
        <f t="shared" si="121"/>
        <v>300</v>
      </c>
      <c r="I644" s="60">
        <f t="shared" si="120"/>
        <v>100</v>
      </c>
    </row>
    <row r="645" spans="1:9" s="25" customFormat="1" ht="15">
      <c r="A645" s="58" t="s">
        <v>333</v>
      </c>
      <c r="B645" s="59" t="s">
        <v>612</v>
      </c>
      <c r="C645" s="59" t="s">
        <v>376</v>
      </c>
      <c r="D645" s="59"/>
      <c r="E645" s="59"/>
      <c r="F645" s="78">
        <f t="shared" si="121"/>
        <v>300</v>
      </c>
      <c r="G645" s="273">
        <f t="shared" si="121"/>
        <v>30</v>
      </c>
      <c r="H645" s="78">
        <f t="shared" si="121"/>
        <v>300</v>
      </c>
      <c r="I645" s="60">
        <f t="shared" si="120"/>
        <v>100</v>
      </c>
    </row>
    <row r="646" spans="1:9" s="25" customFormat="1" ht="15">
      <c r="A646" s="58" t="s">
        <v>334</v>
      </c>
      <c r="B646" s="59" t="s">
        <v>612</v>
      </c>
      <c r="C646" s="59" t="s">
        <v>376</v>
      </c>
      <c r="D646" s="59" t="s">
        <v>69</v>
      </c>
      <c r="E646" s="59"/>
      <c r="F646" s="78">
        <f t="shared" si="121"/>
        <v>300</v>
      </c>
      <c r="G646" s="273">
        <f t="shared" si="121"/>
        <v>30</v>
      </c>
      <c r="H646" s="78">
        <f t="shared" si="121"/>
        <v>300</v>
      </c>
      <c r="I646" s="60">
        <f t="shared" si="120"/>
        <v>100</v>
      </c>
    </row>
    <row r="647" spans="1:9" s="25" customFormat="1" ht="24">
      <c r="A647" s="65" t="s">
        <v>486</v>
      </c>
      <c r="B647" s="66" t="s">
        <v>612</v>
      </c>
      <c r="C647" s="66" t="s">
        <v>376</v>
      </c>
      <c r="D647" s="66" t="s">
        <v>69</v>
      </c>
      <c r="E647" s="66" t="s">
        <v>77</v>
      </c>
      <c r="F647" s="79">
        <f t="shared" si="121"/>
        <v>300</v>
      </c>
      <c r="G647" s="272">
        <f t="shared" si="121"/>
        <v>30</v>
      </c>
      <c r="H647" s="79">
        <f t="shared" si="121"/>
        <v>300</v>
      </c>
      <c r="I647" s="67">
        <f t="shared" si="120"/>
        <v>100</v>
      </c>
    </row>
    <row r="648" spans="1:9" s="25" customFormat="1" ht="24">
      <c r="A648" s="65" t="s">
        <v>78</v>
      </c>
      <c r="B648" s="66" t="s">
        <v>612</v>
      </c>
      <c r="C648" s="66" t="s">
        <v>376</v>
      </c>
      <c r="D648" s="66" t="s">
        <v>69</v>
      </c>
      <c r="E648" s="66" t="s">
        <v>79</v>
      </c>
      <c r="F648" s="79">
        <v>300</v>
      </c>
      <c r="G648" s="272">
        <v>30</v>
      </c>
      <c r="H648" s="79">
        <v>300</v>
      </c>
      <c r="I648" s="67">
        <f t="shared" si="120"/>
        <v>100</v>
      </c>
    </row>
    <row r="649" spans="1:9" s="25" customFormat="1" ht="15">
      <c r="A649" s="85" t="s">
        <v>120</v>
      </c>
      <c r="B649" s="59" t="s">
        <v>612</v>
      </c>
      <c r="C649" s="59"/>
      <c r="D649" s="59"/>
      <c r="E649" s="66"/>
      <c r="F649" s="78">
        <f t="shared" ref="F649:H652" si="122">F650</f>
        <v>6190.2939999999999</v>
      </c>
      <c r="G649" s="273">
        <f t="shared" si="122"/>
        <v>198.81326999999999</v>
      </c>
      <c r="H649" s="78">
        <f t="shared" si="122"/>
        <v>4190.2939999999999</v>
      </c>
      <c r="I649" s="60">
        <f t="shared" si="120"/>
        <v>67.691356824086228</v>
      </c>
    </row>
    <row r="650" spans="1:9" s="25" customFormat="1" ht="15">
      <c r="A650" s="58" t="s">
        <v>333</v>
      </c>
      <c r="B650" s="59" t="s">
        <v>612</v>
      </c>
      <c r="C650" s="59" t="s">
        <v>376</v>
      </c>
      <c r="D650" s="59"/>
      <c r="E650" s="66"/>
      <c r="F650" s="78">
        <f t="shared" si="122"/>
        <v>6190.2939999999999</v>
      </c>
      <c r="G650" s="273">
        <f t="shared" si="122"/>
        <v>198.81326999999999</v>
      </c>
      <c r="H650" s="78">
        <f t="shared" si="122"/>
        <v>4190.2939999999999</v>
      </c>
      <c r="I650" s="60">
        <f t="shared" si="120"/>
        <v>67.691356824086228</v>
      </c>
    </row>
    <row r="651" spans="1:9" s="25" customFormat="1" ht="15">
      <c r="A651" s="58" t="s">
        <v>333</v>
      </c>
      <c r="B651" s="59" t="s">
        <v>612</v>
      </c>
      <c r="C651" s="59" t="s">
        <v>376</v>
      </c>
      <c r="D651" s="59" t="s">
        <v>431</v>
      </c>
      <c r="E651" s="66"/>
      <c r="F651" s="78">
        <f t="shared" si="122"/>
        <v>6190.2939999999999</v>
      </c>
      <c r="G651" s="273">
        <f t="shared" si="122"/>
        <v>198.81326999999999</v>
      </c>
      <c r="H651" s="78">
        <f t="shared" si="122"/>
        <v>4190.2939999999999</v>
      </c>
      <c r="I651" s="60">
        <f t="shared" si="120"/>
        <v>67.691356824086228</v>
      </c>
    </row>
    <row r="652" spans="1:9" s="25" customFormat="1" ht="15">
      <c r="A652" s="65" t="s">
        <v>199</v>
      </c>
      <c r="B652" s="66" t="s">
        <v>612</v>
      </c>
      <c r="C652" s="66" t="s">
        <v>376</v>
      </c>
      <c r="D652" s="66" t="s">
        <v>431</v>
      </c>
      <c r="E652" s="66" t="s">
        <v>377</v>
      </c>
      <c r="F652" s="79">
        <f t="shared" si="122"/>
        <v>6190.2939999999999</v>
      </c>
      <c r="G652" s="272">
        <f t="shared" si="122"/>
        <v>198.81326999999999</v>
      </c>
      <c r="H652" s="79">
        <f t="shared" si="122"/>
        <v>4190.2939999999999</v>
      </c>
      <c r="I652" s="67">
        <f t="shared" si="120"/>
        <v>67.691356824086228</v>
      </c>
    </row>
    <row r="653" spans="1:9" s="25" customFormat="1" ht="15">
      <c r="A653" s="65" t="s">
        <v>378</v>
      </c>
      <c r="B653" s="66" t="s">
        <v>612</v>
      </c>
      <c r="C653" s="66" t="s">
        <v>376</v>
      </c>
      <c r="D653" s="66" t="s">
        <v>431</v>
      </c>
      <c r="E653" s="66" t="s">
        <v>379</v>
      </c>
      <c r="F653" s="79">
        <v>6190.2939999999999</v>
      </c>
      <c r="G653" s="280">
        <v>198.81326999999999</v>
      </c>
      <c r="H653" s="79">
        <f>6190.294-2000</f>
        <v>4190.2939999999999</v>
      </c>
      <c r="I653" s="67">
        <f t="shared" si="120"/>
        <v>67.691356824086228</v>
      </c>
    </row>
    <row r="654" spans="1:9" s="25" customFormat="1" ht="15">
      <c r="A654" s="85" t="s">
        <v>120</v>
      </c>
      <c r="B654" s="59" t="s">
        <v>612</v>
      </c>
      <c r="C654" s="59"/>
      <c r="D654" s="59"/>
      <c r="E654" s="59"/>
      <c r="F654" s="78">
        <f t="shared" ref="F654:H657" si="123">F655</f>
        <v>749.01700000000005</v>
      </c>
      <c r="G654" s="273">
        <f t="shared" si="123"/>
        <v>541.68874000000005</v>
      </c>
      <c r="H654" s="78">
        <f t="shared" si="123"/>
        <v>749.01700000000005</v>
      </c>
      <c r="I654" s="60">
        <f t="shared" si="120"/>
        <v>100</v>
      </c>
    </row>
    <row r="655" spans="1:9" s="25" customFormat="1" ht="15">
      <c r="A655" s="58" t="s">
        <v>333</v>
      </c>
      <c r="B655" s="59" t="s">
        <v>612</v>
      </c>
      <c r="C655" s="59" t="s">
        <v>376</v>
      </c>
      <c r="D655" s="59"/>
      <c r="E655" s="59"/>
      <c r="F655" s="78">
        <f t="shared" si="123"/>
        <v>749.01700000000005</v>
      </c>
      <c r="G655" s="273">
        <f t="shared" si="123"/>
        <v>541.68874000000005</v>
      </c>
      <c r="H655" s="78">
        <f t="shared" si="123"/>
        <v>749.01700000000005</v>
      </c>
      <c r="I655" s="60">
        <f t="shared" si="120"/>
        <v>100</v>
      </c>
    </row>
    <row r="656" spans="1:9" s="25" customFormat="1" ht="15">
      <c r="A656" s="58" t="s">
        <v>698</v>
      </c>
      <c r="B656" s="59" t="s">
        <v>612</v>
      </c>
      <c r="C656" s="59" t="s">
        <v>376</v>
      </c>
      <c r="D656" s="59" t="s">
        <v>423</v>
      </c>
      <c r="E656" s="59"/>
      <c r="F656" s="78">
        <f t="shared" si="123"/>
        <v>749.01700000000005</v>
      </c>
      <c r="G656" s="273">
        <f t="shared" si="123"/>
        <v>541.68874000000005</v>
      </c>
      <c r="H656" s="78">
        <f t="shared" si="123"/>
        <v>749.01700000000005</v>
      </c>
      <c r="I656" s="60">
        <f t="shared" si="120"/>
        <v>100</v>
      </c>
    </row>
    <row r="657" spans="1:9" s="25" customFormat="1" ht="24">
      <c r="A657" s="65" t="s">
        <v>486</v>
      </c>
      <c r="B657" s="66" t="s">
        <v>612</v>
      </c>
      <c r="C657" s="66" t="s">
        <v>376</v>
      </c>
      <c r="D657" s="66" t="s">
        <v>423</v>
      </c>
      <c r="E657" s="66" t="s">
        <v>77</v>
      </c>
      <c r="F657" s="79">
        <f t="shared" si="123"/>
        <v>749.01700000000005</v>
      </c>
      <c r="G657" s="272">
        <f t="shared" si="123"/>
        <v>541.68874000000005</v>
      </c>
      <c r="H657" s="79">
        <f t="shared" si="123"/>
        <v>749.01700000000005</v>
      </c>
      <c r="I657" s="67">
        <f t="shared" si="120"/>
        <v>100</v>
      </c>
    </row>
    <row r="658" spans="1:9" s="25" customFormat="1" ht="24">
      <c r="A658" s="65" t="s">
        <v>78</v>
      </c>
      <c r="B658" s="66" t="s">
        <v>612</v>
      </c>
      <c r="C658" s="66" t="s">
        <v>376</v>
      </c>
      <c r="D658" s="66" t="s">
        <v>423</v>
      </c>
      <c r="E658" s="66" t="s">
        <v>79</v>
      </c>
      <c r="F658" s="79">
        <f>200+400+200-50.983</f>
        <v>749.01700000000005</v>
      </c>
      <c r="G658" s="272">
        <v>541.68874000000005</v>
      </c>
      <c r="H658" s="79">
        <f>200+400+200-50.983</f>
        <v>749.01700000000005</v>
      </c>
      <c r="I658" s="67">
        <f t="shared" si="120"/>
        <v>100</v>
      </c>
    </row>
    <row r="659" spans="1:9" s="25" customFormat="1" ht="15">
      <c r="A659" s="85" t="s">
        <v>120</v>
      </c>
      <c r="B659" s="59" t="s">
        <v>612</v>
      </c>
      <c r="C659" s="59"/>
      <c r="D659" s="59"/>
      <c r="E659" s="59"/>
      <c r="F659" s="78">
        <f t="shared" ref="F659:H662" si="124">F660</f>
        <v>2409.7060000000001</v>
      </c>
      <c r="G659" s="273">
        <f t="shared" si="124"/>
        <v>2375.91921</v>
      </c>
      <c r="H659" s="78">
        <f t="shared" si="124"/>
        <v>2409.7060000000001</v>
      </c>
      <c r="I659" s="60">
        <f t="shared" si="120"/>
        <v>100</v>
      </c>
    </row>
    <row r="660" spans="1:9" s="25" customFormat="1" ht="15">
      <c r="A660" s="85" t="s">
        <v>338</v>
      </c>
      <c r="B660" s="59" t="s">
        <v>612</v>
      </c>
      <c r="C660" s="59" t="s">
        <v>430</v>
      </c>
      <c r="D660" s="59"/>
      <c r="E660" s="59"/>
      <c r="F660" s="78">
        <f t="shared" si="124"/>
        <v>2409.7060000000001</v>
      </c>
      <c r="G660" s="273">
        <f t="shared" si="124"/>
        <v>2375.91921</v>
      </c>
      <c r="H660" s="78">
        <f t="shared" si="124"/>
        <v>2409.7060000000001</v>
      </c>
      <c r="I660" s="60">
        <f t="shared" si="120"/>
        <v>100</v>
      </c>
    </row>
    <row r="661" spans="1:9" s="25" customFormat="1" ht="15">
      <c r="A661" s="85" t="s">
        <v>341</v>
      </c>
      <c r="B661" s="59" t="s">
        <v>612</v>
      </c>
      <c r="C661" s="59" t="s">
        <v>430</v>
      </c>
      <c r="D661" s="59" t="s">
        <v>424</v>
      </c>
      <c r="E661" s="59"/>
      <c r="F661" s="78">
        <f t="shared" si="124"/>
        <v>2409.7060000000001</v>
      </c>
      <c r="G661" s="78">
        <f t="shared" si="124"/>
        <v>2375.91921</v>
      </c>
      <c r="H661" s="78">
        <f t="shared" si="124"/>
        <v>2409.7060000000001</v>
      </c>
      <c r="I661" s="60">
        <f t="shared" si="120"/>
        <v>100</v>
      </c>
    </row>
    <row r="662" spans="1:9" s="25" customFormat="1" ht="24">
      <c r="A662" s="65" t="s">
        <v>486</v>
      </c>
      <c r="B662" s="66" t="s">
        <v>612</v>
      </c>
      <c r="C662" s="66" t="s">
        <v>430</v>
      </c>
      <c r="D662" s="66" t="s">
        <v>424</v>
      </c>
      <c r="E662" s="66" t="s">
        <v>77</v>
      </c>
      <c r="F662" s="79">
        <f t="shared" si="124"/>
        <v>2409.7060000000001</v>
      </c>
      <c r="G662" s="272">
        <f t="shared" si="124"/>
        <v>2375.91921</v>
      </c>
      <c r="H662" s="79">
        <f t="shared" si="124"/>
        <v>2409.7060000000001</v>
      </c>
      <c r="I662" s="67">
        <f t="shared" si="120"/>
        <v>100</v>
      </c>
    </row>
    <row r="663" spans="1:9" s="25" customFormat="1" ht="24">
      <c r="A663" s="65" t="s">
        <v>78</v>
      </c>
      <c r="B663" s="66" t="s">
        <v>612</v>
      </c>
      <c r="C663" s="66" t="s">
        <v>430</v>
      </c>
      <c r="D663" s="66" t="s">
        <v>424</v>
      </c>
      <c r="E663" s="66" t="s">
        <v>79</v>
      </c>
      <c r="F663" s="79">
        <v>2409.7060000000001</v>
      </c>
      <c r="G663" s="272">
        <v>2375.91921</v>
      </c>
      <c r="H663" s="79">
        <v>2409.7060000000001</v>
      </c>
      <c r="I663" s="67">
        <f t="shared" si="120"/>
        <v>100</v>
      </c>
    </row>
    <row r="664" spans="1:9" s="25" customFormat="1" ht="15">
      <c r="A664" s="85" t="s">
        <v>120</v>
      </c>
      <c r="B664" s="59" t="s">
        <v>612</v>
      </c>
      <c r="C664" s="59"/>
      <c r="D664" s="59"/>
      <c r="E664" s="59"/>
      <c r="F664" s="78">
        <f t="shared" ref="F664:H667" si="125">F665</f>
        <v>600</v>
      </c>
      <c r="G664" s="298">
        <f t="shared" si="125"/>
        <v>0</v>
      </c>
      <c r="H664" s="78">
        <f t="shared" si="125"/>
        <v>600</v>
      </c>
      <c r="I664" s="60">
        <f t="shared" si="120"/>
        <v>100</v>
      </c>
    </row>
    <row r="665" spans="1:9" s="25" customFormat="1" ht="15">
      <c r="A665" s="85" t="s">
        <v>585</v>
      </c>
      <c r="B665" s="59" t="s">
        <v>612</v>
      </c>
      <c r="C665" s="59" t="s">
        <v>428</v>
      </c>
      <c r="D665" s="59"/>
      <c r="E665" s="59"/>
      <c r="F665" s="78">
        <f t="shared" si="125"/>
        <v>600</v>
      </c>
      <c r="G665" s="298">
        <f t="shared" si="125"/>
        <v>0</v>
      </c>
      <c r="H665" s="78">
        <f t="shared" si="125"/>
        <v>600</v>
      </c>
      <c r="I665" s="60">
        <f t="shared" si="120"/>
        <v>100</v>
      </c>
    </row>
    <row r="666" spans="1:9" s="25" customFormat="1" ht="15">
      <c r="A666" s="85" t="s">
        <v>408</v>
      </c>
      <c r="B666" s="59" t="s">
        <v>612</v>
      </c>
      <c r="C666" s="59" t="s">
        <v>428</v>
      </c>
      <c r="D666" s="59" t="s">
        <v>71</v>
      </c>
      <c r="E666" s="59"/>
      <c r="F666" s="78">
        <f t="shared" si="125"/>
        <v>600</v>
      </c>
      <c r="G666" s="273">
        <f t="shared" si="125"/>
        <v>0</v>
      </c>
      <c r="H666" s="78">
        <f t="shared" si="125"/>
        <v>600</v>
      </c>
      <c r="I666" s="60">
        <f t="shared" si="120"/>
        <v>100</v>
      </c>
    </row>
    <row r="667" spans="1:9" s="25" customFormat="1" ht="24">
      <c r="A667" s="65" t="s">
        <v>486</v>
      </c>
      <c r="B667" s="66" t="s">
        <v>612</v>
      </c>
      <c r="C667" s="66" t="s">
        <v>428</v>
      </c>
      <c r="D667" s="66" t="s">
        <v>71</v>
      </c>
      <c r="E667" s="66" t="s">
        <v>77</v>
      </c>
      <c r="F667" s="79">
        <f t="shared" si="125"/>
        <v>600</v>
      </c>
      <c r="G667" s="297">
        <f t="shared" si="125"/>
        <v>0</v>
      </c>
      <c r="H667" s="79">
        <f t="shared" si="125"/>
        <v>600</v>
      </c>
      <c r="I667" s="67">
        <f t="shared" si="120"/>
        <v>100</v>
      </c>
    </row>
    <row r="668" spans="1:9" s="25" customFormat="1" ht="24">
      <c r="A668" s="65" t="s">
        <v>78</v>
      </c>
      <c r="B668" s="66" t="s">
        <v>612</v>
      </c>
      <c r="C668" s="66" t="s">
        <v>428</v>
      </c>
      <c r="D668" s="66" t="s">
        <v>71</v>
      </c>
      <c r="E668" s="66" t="s">
        <v>79</v>
      </c>
      <c r="F668" s="79">
        <v>600</v>
      </c>
      <c r="G668" s="297">
        <v>0</v>
      </c>
      <c r="H668" s="79">
        <v>600</v>
      </c>
      <c r="I668" s="67">
        <f t="shared" si="120"/>
        <v>100</v>
      </c>
    </row>
    <row r="669" spans="1:9" s="25" customFormat="1" ht="15">
      <c r="A669" s="85" t="s">
        <v>120</v>
      </c>
      <c r="B669" s="59" t="s">
        <v>612</v>
      </c>
      <c r="C669" s="59"/>
      <c r="D669" s="59"/>
      <c r="E669" s="66"/>
      <c r="F669" s="78">
        <f t="shared" ref="F669:H672" si="126">F670</f>
        <v>50</v>
      </c>
      <c r="G669" s="273">
        <f t="shared" si="126"/>
        <v>0</v>
      </c>
      <c r="H669" s="78">
        <f t="shared" si="126"/>
        <v>50</v>
      </c>
      <c r="I669" s="60">
        <f t="shared" si="120"/>
        <v>100</v>
      </c>
    </row>
    <row r="670" spans="1:9" s="25" customFormat="1" ht="15">
      <c r="A670" s="58" t="s">
        <v>353</v>
      </c>
      <c r="B670" s="59" t="s">
        <v>612</v>
      </c>
      <c r="C670" s="59" t="s">
        <v>83</v>
      </c>
      <c r="D670" s="59"/>
      <c r="E670" s="66"/>
      <c r="F670" s="78">
        <f t="shared" si="126"/>
        <v>50</v>
      </c>
      <c r="G670" s="273">
        <f t="shared" si="126"/>
        <v>0</v>
      </c>
      <c r="H670" s="78">
        <f t="shared" si="126"/>
        <v>50</v>
      </c>
      <c r="I670" s="60">
        <f t="shared" si="120"/>
        <v>100</v>
      </c>
    </row>
    <row r="671" spans="1:9" s="25" customFormat="1" ht="15">
      <c r="A671" s="58" t="s">
        <v>57</v>
      </c>
      <c r="B671" s="59" t="s">
        <v>612</v>
      </c>
      <c r="C671" s="59" t="s">
        <v>83</v>
      </c>
      <c r="D671" s="59" t="s">
        <v>69</v>
      </c>
      <c r="E671" s="66"/>
      <c r="F671" s="78">
        <f t="shared" si="126"/>
        <v>50</v>
      </c>
      <c r="G671" s="273">
        <f t="shared" si="126"/>
        <v>0</v>
      </c>
      <c r="H671" s="78">
        <f t="shared" si="126"/>
        <v>50</v>
      </c>
      <c r="I671" s="60">
        <f t="shared" si="120"/>
        <v>100</v>
      </c>
    </row>
    <row r="672" spans="1:9" s="25" customFormat="1" ht="15">
      <c r="A672" s="65" t="s">
        <v>199</v>
      </c>
      <c r="B672" s="66" t="s">
        <v>612</v>
      </c>
      <c r="C672" s="66" t="s">
        <v>83</v>
      </c>
      <c r="D672" s="66" t="s">
        <v>69</v>
      </c>
      <c r="E672" s="66" t="s">
        <v>377</v>
      </c>
      <c r="F672" s="79">
        <f t="shared" si="126"/>
        <v>50</v>
      </c>
      <c r="G672" s="272">
        <f t="shared" si="126"/>
        <v>0</v>
      </c>
      <c r="H672" s="79">
        <f t="shared" si="126"/>
        <v>50</v>
      </c>
      <c r="I672" s="67">
        <f t="shared" si="120"/>
        <v>100</v>
      </c>
    </row>
    <row r="673" spans="1:9" s="25" customFormat="1" ht="15">
      <c r="A673" s="65" t="s">
        <v>378</v>
      </c>
      <c r="B673" s="66" t="s">
        <v>612</v>
      </c>
      <c r="C673" s="66" t="s">
        <v>83</v>
      </c>
      <c r="D673" s="66" t="s">
        <v>69</v>
      </c>
      <c r="E673" s="66" t="s">
        <v>379</v>
      </c>
      <c r="F673" s="79">
        <v>50</v>
      </c>
      <c r="G673" s="272">
        <v>0</v>
      </c>
      <c r="H673" s="79">
        <v>50</v>
      </c>
      <c r="I673" s="67">
        <f t="shared" si="120"/>
        <v>100</v>
      </c>
    </row>
    <row r="674" spans="1:9" s="25" customFormat="1" ht="24">
      <c r="A674" s="58" t="s">
        <v>434</v>
      </c>
      <c r="B674" s="59" t="s">
        <v>613</v>
      </c>
      <c r="C674" s="59"/>
      <c r="D674" s="59"/>
      <c r="E674" s="59"/>
      <c r="F674" s="78">
        <f t="shared" ref="F674:H677" si="127">F675</f>
        <v>2000</v>
      </c>
      <c r="G674" s="273">
        <f t="shared" si="127"/>
        <v>503.59199999999998</v>
      </c>
      <c r="H674" s="78">
        <f t="shared" si="127"/>
        <v>2000</v>
      </c>
      <c r="I674" s="60">
        <f t="shared" si="120"/>
        <v>100</v>
      </c>
    </row>
    <row r="675" spans="1:9" s="25" customFormat="1" ht="15">
      <c r="A675" s="58" t="s">
        <v>333</v>
      </c>
      <c r="B675" s="59" t="s">
        <v>613</v>
      </c>
      <c r="C675" s="59" t="s">
        <v>376</v>
      </c>
      <c r="D675" s="59"/>
      <c r="E675" s="59"/>
      <c r="F675" s="78">
        <f t="shared" si="127"/>
        <v>2000</v>
      </c>
      <c r="G675" s="273">
        <f t="shared" si="127"/>
        <v>503.59199999999998</v>
      </c>
      <c r="H675" s="78">
        <f t="shared" si="127"/>
        <v>2000</v>
      </c>
      <c r="I675" s="60">
        <f t="shared" si="120"/>
        <v>100</v>
      </c>
    </row>
    <row r="676" spans="1:9" s="25" customFormat="1" ht="15">
      <c r="A676" s="58" t="s">
        <v>334</v>
      </c>
      <c r="B676" s="59" t="s">
        <v>613</v>
      </c>
      <c r="C676" s="59" t="s">
        <v>376</v>
      </c>
      <c r="D676" s="59" t="s">
        <v>69</v>
      </c>
      <c r="E676" s="59"/>
      <c r="F676" s="78">
        <f t="shared" si="127"/>
        <v>2000</v>
      </c>
      <c r="G676" s="273">
        <f t="shared" si="127"/>
        <v>503.59199999999998</v>
      </c>
      <c r="H676" s="78">
        <f t="shared" si="127"/>
        <v>2000</v>
      </c>
      <c r="I676" s="60">
        <f t="shared" si="120"/>
        <v>100</v>
      </c>
    </row>
    <row r="677" spans="1:9" s="25" customFormat="1" ht="24">
      <c r="A677" s="65" t="s">
        <v>486</v>
      </c>
      <c r="B677" s="66" t="s">
        <v>613</v>
      </c>
      <c r="C677" s="66" t="s">
        <v>376</v>
      </c>
      <c r="D677" s="66" t="s">
        <v>69</v>
      </c>
      <c r="E677" s="66" t="s">
        <v>77</v>
      </c>
      <c r="F677" s="79">
        <f t="shared" si="127"/>
        <v>2000</v>
      </c>
      <c r="G677" s="272">
        <f t="shared" si="127"/>
        <v>503.59199999999998</v>
      </c>
      <c r="H677" s="79">
        <f t="shared" si="127"/>
        <v>2000</v>
      </c>
      <c r="I677" s="67">
        <f t="shared" si="120"/>
        <v>100</v>
      </c>
    </row>
    <row r="678" spans="1:9" s="25" customFormat="1" ht="24">
      <c r="A678" s="65" t="s">
        <v>78</v>
      </c>
      <c r="B678" s="66" t="s">
        <v>613</v>
      </c>
      <c r="C678" s="66" t="s">
        <v>376</v>
      </c>
      <c r="D678" s="66" t="s">
        <v>69</v>
      </c>
      <c r="E678" s="66" t="s">
        <v>79</v>
      </c>
      <c r="F678" s="79">
        <v>2000</v>
      </c>
      <c r="G678" s="272">
        <v>503.59199999999998</v>
      </c>
      <c r="H678" s="79">
        <v>2000</v>
      </c>
      <c r="I678" s="67">
        <f t="shared" si="120"/>
        <v>100</v>
      </c>
    </row>
    <row r="679" spans="1:9" s="25" customFormat="1" ht="15">
      <c r="A679" s="58" t="s">
        <v>201</v>
      </c>
      <c r="B679" s="59" t="s">
        <v>614</v>
      </c>
      <c r="C679" s="59"/>
      <c r="D679" s="59"/>
      <c r="E679" s="59"/>
      <c r="F679" s="78">
        <f t="shared" ref="F679:H682" si="128">F680</f>
        <v>12879.7</v>
      </c>
      <c r="G679" s="273">
        <f t="shared" si="128"/>
        <v>12879.699339999999</v>
      </c>
      <c r="H679" s="78">
        <f t="shared" si="128"/>
        <v>12879.699339999999</v>
      </c>
      <c r="I679" s="60">
        <f t="shared" si="120"/>
        <v>99.999994875657023</v>
      </c>
    </row>
    <row r="680" spans="1:9" s="25" customFormat="1" ht="15">
      <c r="A680" s="58" t="s">
        <v>333</v>
      </c>
      <c r="B680" s="59" t="s">
        <v>614</v>
      </c>
      <c r="C680" s="59" t="s">
        <v>376</v>
      </c>
      <c r="D680" s="59"/>
      <c r="E680" s="59"/>
      <c r="F680" s="78">
        <f t="shared" si="128"/>
        <v>12879.7</v>
      </c>
      <c r="G680" s="273">
        <f t="shared" si="128"/>
        <v>12879.699339999999</v>
      </c>
      <c r="H680" s="78">
        <f t="shared" si="128"/>
        <v>12879.699339999999</v>
      </c>
      <c r="I680" s="60">
        <f t="shared" si="120"/>
        <v>99.999994875657023</v>
      </c>
    </row>
    <row r="681" spans="1:9" s="25" customFormat="1" ht="15">
      <c r="A681" s="58" t="s">
        <v>335</v>
      </c>
      <c r="B681" s="59" t="s">
        <v>614</v>
      </c>
      <c r="C681" s="59" t="s">
        <v>376</v>
      </c>
      <c r="D681" s="59" t="s">
        <v>431</v>
      </c>
      <c r="E681" s="59"/>
      <c r="F681" s="78">
        <f t="shared" si="128"/>
        <v>12879.7</v>
      </c>
      <c r="G681" s="273">
        <f t="shared" si="128"/>
        <v>12879.699339999999</v>
      </c>
      <c r="H681" s="78">
        <f t="shared" si="128"/>
        <v>12879.699339999999</v>
      </c>
      <c r="I681" s="60">
        <f t="shared" si="120"/>
        <v>99.999994875657023</v>
      </c>
    </row>
    <row r="682" spans="1:9" s="25" customFormat="1" ht="15">
      <c r="A682" s="65" t="s">
        <v>199</v>
      </c>
      <c r="B682" s="66" t="s">
        <v>614</v>
      </c>
      <c r="C682" s="66" t="s">
        <v>376</v>
      </c>
      <c r="D682" s="66" t="s">
        <v>431</v>
      </c>
      <c r="E682" s="66" t="s">
        <v>377</v>
      </c>
      <c r="F682" s="79">
        <f t="shared" si="128"/>
        <v>12879.7</v>
      </c>
      <c r="G682" s="272">
        <f t="shared" si="128"/>
        <v>12879.699339999999</v>
      </c>
      <c r="H682" s="79">
        <f t="shared" si="128"/>
        <v>12879.699339999999</v>
      </c>
      <c r="I682" s="67">
        <f t="shared" si="120"/>
        <v>99.999994875657023</v>
      </c>
    </row>
    <row r="683" spans="1:9" s="25" customFormat="1" ht="15">
      <c r="A683" s="65" t="s">
        <v>378</v>
      </c>
      <c r="B683" s="66" t="s">
        <v>614</v>
      </c>
      <c r="C683" s="66" t="s">
        <v>376</v>
      </c>
      <c r="D683" s="66" t="s">
        <v>431</v>
      </c>
      <c r="E683" s="66" t="s">
        <v>379</v>
      </c>
      <c r="F683" s="79">
        <v>12879.7</v>
      </c>
      <c r="G683" s="272">
        <v>12879.699339999999</v>
      </c>
      <c r="H683" s="79">
        <v>12879.699339999999</v>
      </c>
      <c r="I683" s="67">
        <f t="shared" si="120"/>
        <v>99.999994875657023</v>
      </c>
    </row>
    <row r="684" spans="1:9" s="25" customFormat="1" ht="15">
      <c r="A684" s="58" t="s">
        <v>615</v>
      </c>
      <c r="B684" s="59" t="s">
        <v>616</v>
      </c>
      <c r="C684" s="59"/>
      <c r="D684" s="59"/>
      <c r="E684" s="59"/>
      <c r="F684" s="78">
        <f t="shared" ref="F684:H687" si="129">F685</f>
        <v>9525.7169400000002</v>
      </c>
      <c r="G684" s="273">
        <f t="shared" si="129"/>
        <v>0</v>
      </c>
      <c r="H684" s="78">
        <f t="shared" si="129"/>
        <v>25.71694000000025</v>
      </c>
      <c r="I684" s="60">
        <f t="shared" si="120"/>
        <v>0.2699737999983049</v>
      </c>
    </row>
    <row r="685" spans="1:9" s="25" customFormat="1" ht="15">
      <c r="A685" s="58" t="s">
        <v>333</v>
      </c>
      <c r="B685" s="59" t="s">
        <v>616</v>
      </c>
      <c r="C685" s="59" t="s">
        <v>376</v>
      </c>
      <c r="D685" s="59"/>
      <c r="E685" s="59"/>
      <c r="F685" s="78">
        <f t="shared" si="129"/>
        <v>9525.7169400000002</v>
      </c>
      <c r="G685" s="273">
        <f t="shared" si="129"/>
        <v>0</v>
      </c>
      <c r="H685" s="78">
        <f t="shared" si="129"/>
        <v>25.71694000000025</v>
      </c>
      <c r="I685" s="60">
        <f t="shared" si="120"/>
        <v>0.2699737999983049</v>
      </c>
    </row>
    <row r="686" spans="1:9" s="25" customFormat="1" ht="15">
      <c r="A686" s="58" t="s">
        <v>335</v>
      </c>
      <c r="B686" s="59" t="s">
        <v>616</v>
      </c>
      <c r="C686" s="59" t="s">
        <v>376</v>
      </c>
      <c r="D686" s="59" t="s">
        <v>431</v>
      </c>
      <c r="E686" s="59"/>
      <c r="F686" s="78">
        <f t="shared" si="129"/>
        <v>9525.7169400000002</v>
      </c>
      <c r="G686" s="273">
        <f t="shared" si="129"/>
        <v>0</v>
      </c>
      <c r="H686" s="78">
        <f t="shared" si="129"/>
        <v>25.71694000000025</v>
      </c>
      <c r="I686" s="60">
        <f t="shared" si="120"/>
        <v>0.2699737999983049</v>
      </c>
    </row>
    <row r="687" spans="1:9" s="25" customFormat="1" ht="15">
      <c r="A687" s="65" t="s">
        <v>199</v>
      </c>
      <c r="B687" s="66" t="s">
        <v>616</v>
      </c>
      <c r="C687" s="66" t="s">
        <v>376</v>
      </c>
      <c r="D687" s="66" t="s">
        <v>431</v>
      </c>
      <c r="E687" s="66" t="s">
        <v>377</v>
      </c>
      <c r="F687" s="79">
        <f t="shared" si="129"/>
        <v>9525.7169400000002</v>
      </c>
      <c r="G687" s="272">
        <f t="shared" si="129"/>
        <v>0</v>
      </c>
      <c r="H687" s="79">
        <f t="shared" si="129"/>
        <v>25.71694000000025</v>
      </c>
      <c r="I687" s="67">
        <f t="shared" si="120"/>
        <v>0.2699737999983049</v>
      </c>
    </row>
    <row r="688" spans="1:9" s="25" customFormat="1" ht="15">
      <c r="A688" s="65" t="s">
        <v>378</v>
      </c>
      <c r="B688" s="66" t="s">
        <v>616</v>
      </c>
      <c r="C688" s="66" t="s">
        <v>376</v>
      </c>
      <c r="D688" s="66" t="s">
        <v>431</v>
      </c>
      <c r="E688" s="66" t="s">
        <v>379</v>
      </c>
      <c r="F688" s="79">
        <v>9525.7169400000002</v>
      </c>
      <c r="G688" s="272">
        <v>0</v>
      </c>
      <c r="H688" s="79">
        <f>9525.71694-9500</f>
        <v>25.71694000000025</v>
      </c>
      <c r="I688" s="67">
        <f t="shared" si="120"/>
        <v>0.2699737999983049</v>
      </c>
    </row>
    <row r="689" spans="1:9" s="25" customFormat="1" ht="15">
      <c r="A689" s="85" t="s">
        <v>497</v>
      </c>
      <c r="B689" s="59" t="s">
        <v>617</v>
      </c>
      <c r="C689" s="59"/>
      <c r="D689" s="59"/>
      <c r="E689" s="59"/>
      <c r="F689" s="60">
        <f t="shared" ref="F689:H692" si="130">F690</f>
        <v>17500</v>
      </c>
      <c r="G689" s="282">
        <f t="shared" si="130"/>
        <v>4631.4449999999997</v>
      </c>
      <c r="H689" s="60">
        <f t="shared" si="130"/>
        <v>17500</v>
      </c>
      <c r="I689" s="60">
        <f t="shared" si="120"/>
        <v>100</v>
      </c>
    </row>
    <row r="690" spans="1:9" s="25" customFormat="1" ht="15">
      <c r="A690" s="58" t="s">
        <v>333</v>
      </c>
      <c r="B690" s="59" t="s">
        <v>617</v>
      </c>
      <c r="C690" s="59" t="s">
        <v>376</v>
      </c>
      <c r="D690" s="59"/>
      <c r="E690" s="59"/>
      <c r="F690" s="60">
        <f t="shared" si="130"/>
        <v>17500</v>
      </c>
      <c r="G690" s="282">
        <f t="shared" si="130"/>
        <v>4631.4449999999997</v>
      </c>
      <c r="H690" s="60">
        <f t="shared" si="130"/>
        <v>17500</v>
      </c>
      <c r="I690" s="60">
        <f t="shared" si="120"/>
        <v>100</v>
      </c>
    </row>
    <row r="691" spans="1:9" s="25" customFormat="1" ht="15">
      <c r="A691" s="58" t="s">
        <v>336</v>
      </c>
      <c r="B691" s="59" t="s">
        <v>617</v>
      </c>
      <c r="C691" s="59" t="s">
        <v>376</v>
      </c>
      <c r="D691" s="59" t="s">
        <v>423</v>
      </c>
      <c r="E691" s="59"/>
      <c r="F691" s="60">
        <f t="shared" si="130"/>
        <v>17500</v>
      </c>
      <c r="G691" s="282">
        <f t="shared" si="130"/>
        <v>4631.4449999999997</v>
      </c>
      <c r="H691" s="60">
        <f t="shared" si="130"/>
        <v>17500</v>
      </c>
      <c r="I691" s="60">
        <f t="shared" si="120"/>
        <v>100</v>
      </c>
    </row>
    <row r="692" spans="1:9" s="25" customFormat="1" ht="24">
      <c r="A692" s="65" t="s">
        <v>486</v>
      </c>
      <c r="B692" s="66" t="s">
        <v>617</v>
      </c>
      <c r="C692" s="66" t="s">
        <v>376</v>
      </c>
      <c r="D692" s="66" t="s">
        <v>423</v>
      </c>
      <c r="E692" s="66" t="s">
        <v>77</v>
      </c>
      <c r="F692" s="67">
        <f t="shared" si="130"/>
        <v>17500</v>
      </c>
      <c r="G692" s="280">
        <f t="shared" si="130"/>
        <v>4631.4449999999997</v>
      </c>
      <c r="H692" s="67">
        <f t="shared" si="130"/>
        <v>17500</v>
      </c>
      <c r="I692" s="67">
        <f t="shared" si="120"/>
        <v>100</v>
      </c>
    </row>
    <row r="693" spans="1:9" s="25" customFormat="1" ht="24">
      <c r="A693" s="65" t="s">
        <v>78</v>
      </c>
      <c r="B693" s="66" t="s">
        <v>617</v>
      </c>
      <c r="C693" s="66" t="s">
        <v>376</v>
      </c>
      <c r="D693" s="66" t="s">
        <v>423</v>
      </c>
      <c r="E693" s="66" t="s">
        <v>79</v>
      </c>
      <c r="F693" s="67">
        <f>5000+4500+7000+1000</f>
        <v>17500</v>
      </c>
      <c r="G693" s="280">
        <v>4631.4449999999997</v>
      </c>
      <c r="H693" s="67">
        <v>17500</v>
      </c>
      <c r="I693" s="67">
        <f t="shared" si="120"/>
        <v>100</v>
      </c>
    </row>
    <row r="694" spans="1:9" s="25" customFormat="1" ht="15">
      <c r="A694" s="58" t="s">
        <v>505</v>
      </c>
      <c r="B694" s="59" t="s">
        <v>618</v>
      </c>
      <c r="C694" s="59"/>
      <c r="D694" s="59"/>
      <c r="E694" s="59"/>
      <c r="F694" s="78">
        <f t="shared" ref="F694:H697" si="131">F695</f>
        <v>200000</v>
      </c>
      <c r="G694" s="273">
        <f t="shared" si="131"/>
        <v>145990.06547</v>
      </c>
      <c r="H694" s="78">
        <f t="shared" si="131"/>
        <v>190000</v>
      </c>
      <c r="I694" s="60">
        <f t="shared" si="120"/>
        <v>95</v>
      </c>
    </row>
    <row r="695" spans="1:9" s="25" customFormat="1" ht="15">
      <c r="A695" s="58" t="s">
        <v>333</v>
      </c>
      <c r="B695" s="59" t="s">
        <v>618</v>
      </c>
      <c r="C695" s="59" t="s">
        <v>376</v>
      </c>
      <c r="D695" s="59"/>
      <c r="E695" s="59"/>
      <c r="F695" s="78">
        <f t="shared" si="131"/>
        <v>200000</v>
      </c>
      <c r="G695" s="273">
        <f t="shared" si="131"/>
        <v>145990.06547</v>
      </c>
      <c r="H695" s="78">
        <f t="shared" si="131"/>
        <v>190000</v>
      </c>
      <c r="I695" s="60">
        <f t="shared" si="120"/>
        <v>95</v>
      </c>
    </row>
    <row r="696" spans="1:9" s="25" customFormat="1" ht="15">
      <c r="A696" s="58" t="s">
        <v>336</v>
      </c>
      <c r="B696" s="59" t="s">
        <v>618</v>
      </c>
      <c r="C696" s="59" t="s">
        <v>376</v>
      </c>
      <c r="D696" s="59" t="s">
        <v>423</v>
      </c>
      <c r="E696" s="59"/>
      <c r="F696" s="78">
        <f t="shared" si="131"/>
        <v>200000</v>
      </c>
      <c r="G696" s="273">
        <f t="shared" si="131"/>
        <v>145990.06547</v>
      </c>
      <c r="H696" s="78">
        <f t="shared" si="131"/>
        <v>190000</v>
      </c>
      <c r="I696" s="60">
        <f t="shared" si="120"/>
        <v>95</v>
      </c>
    </row>
    <row r="697" spans="1:9" s="25" customFormat="1" ht="24">
      <c r="A697" s="65" t="s">
        <v>486</v>
      </c>
      <c r="B697" s="66" t="s">
        <v>618</v>
      </c>
      <c r="C697" s="66" t="s">
        <v>376</v>
      </c>
      <c r="D697" s="66" t="s">
        <v>423</v>
      </c>
      <c r="E697" s="66" t="s">
        <v>77</v>
      </c>
      <c r="F697" s="79">
        <f t="shared" si="131"/>
        <v>200000</v>
      </c>
      <c r="G697" s="272">
        <f t="shared" si="131"/>
        <v>145990.06547</v>
      </c>
      <c r="H697" s="79">
        <f t="shared" si="131"/>
        <v>190000</v>
      </c>
      <c r="I697" s="67">
        <f t="shared" si="120"/>
        <v>95</v>
      </c>
    </row>
    <row r="698" spans="1:9" s="25" customFormat="1" ht="24">
      <c r="A698" s="65" t="s">
        <v>78</v>
      </c>
      <c r="B698" s="66" t="s">
        <v>618</v>
      </c>
      <c r="C698" s="66" t="s">
        <v>376</v>
      </c>
      <c r="D698" s="66" t="s">
        <v>423</v>
      </c>
      <c r="E698" s="66" t="s">
        <v>79</v>
      </c>
      <c r="F698" s="79">
        <f>150000+50000</f>
        <v>200000</v>
      </c>
      <c r="G698" s="272">
        <v>145990.06547</v>
      </c>
      <c r="H698" s="79">
        <f>200000-10000</f>
        <v>190000</v>
      </c>
      <c r="I698" s="67">
        <f t="shared" si="120"/>
        <v>95</v>
      </c>
    </row>
    <row r="699" spans="1:9" s="25" customFormat="1" ht="48">
      <c r="A699" s="58" t="s">
        <v>36</v>
      </c>
      <c r="B699" s="59" t="s">
        <v>496</v>
      </c>
      <c r="C699" s="59"/>
      <c r="D699" s="59"/>
      <c r="E699" s="59"/>
      <c r="F699" s="60">
        <f t="shared" ref="F699:H702" si="132">F700</f>
        <v>1000</v>
      </c>
      <c r="G699" s="298">
        <f t="shared" si="132"/>
        <v>0</v>
      </c>
      <c r="H699" s="60">
        <f t="shared" si="132"/>
        <v>1000</v>
      </c>
      <c r="I699" s="60">
        <f t="shared" si="120"/>
        <v>100</v>
      </c>
    </row>
    <row r="700" spans="1:9" s="25" customFormat="1" ht="15">
      <c r="A700" s="58" t="s">
        <v>338</v>
      </c>
      <c r="B700" s="59" t="s">
        <v>496</v>
      </c>
      <c r="C700" s="59" t="s">
        <v>430</v>
      </c>
      <c r="D700" s="59"/>
      <c r="E700" s="59"/>
      <c r="F700" s="60">
        <f t="shared" si="132"/>
        <v>1000</v>
      </c>
      <c r="G700" s="298">
        <f t="shared" si="132"/>
        <v>0</v>
      </c>
      <c r="H700" s="60">
        <f t="shared" si="132"/>
        <v>1000</v>
      </c>
      <c r="I700" s="60">
        <f t="shared" si="120"/>
        <v>100</v>
      </c>
    </row>
    <row r="701" spans="1:9" s="25" customFormat="1" ht="15">
      <c r="A701" s="58" t="s">
        <v>339</v>
      </c>
      <c r="B701" s="59" t="s">
        <v>496</v>
      </c>
      <c r="C701" s="59" t="s">
        <v>430</v>
      </c>
      <c r="D701" s="59" t="s">
        <v>69</v>
      </c>
      <c r="E701" s="59"/>
      <c r="F701" s="60">
        <f t="shared" si="132"/>
        <v>1000</v>
      </c>
      <c r="G701" s="298">
        <f t="shared" si="132"/>
        <v>0</v>
      </c>
      <c r="H701" s="60">
        <f t="shared" si="132"/>
        <v>1000</v>
      </c>
      <c r="I701" s="60">
        <f t="shared" si="120"/>
        <v>100</v>
      </c>
    </row>
    <row r="702" spans="1:9" s="25" customFormat="1" ht="24">
      <c r="A702" s="65" t="s">
        <v>486</v>
      </c>
      <c r="B702" s="66" t="s">
        <v>496</v>
      </c>
      <c r="C702" s="66" t="s">
        <v>430</v>
      </c>
      <c r="D702" s="66" t="s">
        <v>69</v>
      </c>
      <c r="E702" s="66" t="s">
        <v>77</v>
      </c>
      <c r="F702" s="67">
        <f t="shared" si="132"/>
        <v>1000</v>
      </c>
      <c r="G702" s="297">
        <f t="shared" si="132"/>
        <v>0</v>
      </c>
      <c r="H702" s="67">
        <f t="shared" si="132"/>
        <v>1000</v>
      </c>
      <c r="I702" s="67">
        <f t="shared" si="120"/>
        <v>100</v>
      </c>
    </row>
    <row r="703" spans="1:9" s="25" customFormat="1" ht="24">
      <c r="A703" s="65" t="s">
        <v>78</v>
      </c>
      <c r="B703" s="66" t="s">
        <v>496</v>
      </c>
      <c r="C703" s="66" t="s">
        <v>430</v>
      </c>
      <c r="D703" s="66" t="s">
        <v>69</v>
      </c>
      <c r="E703" s="66" t="s">
        <v>79</v>
      </c>
      <c r="F703" s="67">
        <v>1000</v>
      </c>
      <c r="G703" s="297">
        <v>0</v>
      </c>
      <c r="H703" s="67">
        <v>1000</v>
      </c>
      <c r="I703" s="67">
        <f t="shared" ref="I703:I766" si="133">H703/F703*100</f>
        <v>100</v>
      </c>
    </row>
    <row r="704" spans="1:9" s="25" customFormat="1" ht="15">
      <c r="A704" s="85" t="s">
        <v>151</v>
      </c>
      <c r="B704" s="106" t="s">
        <v>619</v>
      </c>
      <c r="C704" s="59"/>
      <c r="D704" s="59"/>
      <c r="E704" s="59"/>
      <c r="F704" s="60">
        <f t="shared" ref="F704:H707" si="134">F705</f>
        <v>86225.119000000006</v>
      </c>
      <c r="G704" s="282">
        <f t="shared" si="134"/>
        <v>55345.522819999998</v>
      </c>
      <c r="H704" s="60">
        <f t="shared" si="134"/>
        <v>84825.119000000006</v>
      </c>
      <c r="I704" s="60">
        <f t="shared" si="133"/>
        <v>98.376343209221901</v>
      </c>
    </row>
    <row r="705" spans="1:9" s="25" customFormat="1" ht="15">
      <c r="A705" s="85" t="s">
        <v>338</v>
      </c>
      <c r="B705" s="106" t="s">
        <v>619</v>
      </c>
      <c r="C705" s="59" t="s">
        <v>430</v>
      </c>
      <c r="D705" s="59"/>
      <c r="E705" s="59"/>
      <c r="F705" s="60">
        <f t="shared" si="134"/>
        <v>86225.119000000006</v>
      </c>
      <c r="G705" s="282">
        <f t="shared" si="134"/>
        <v>55345.522819999998</v>
      </c>
      <c r="H705" s="60">
        <f t="shared" si="134"/>
        <v>84825.119000000006</v>
      </c>
      <c r="I705" s="60">
        <f t="shared" si="133"/>
        <v>98.376343209221901</v>
      </c>
    </row>
    <row r="706" spans="1:9" s="25" customFormat="1" ht="15">
      <c r="A706" s="85" t="s">
        <v>341</v>
      </c>
      <c r="B706" s="106" t="s">
        <v>619</v>
      </c>
      <c r="C706" s="59" t="s">
        <v>430</v>
      </c>
      <c r="D706" s="59" t="s">
        <v>424</v>
      </c>
      <c r="E706" s="59"/>
      <c r="F706" s="60">
        <f t="shared" si="134"/>
        <v>86225.119000000006</v>
      </c>
      <c r="G706" s="282">
        <f t="shared" si="134"/>
        <v>55345.522819999998</v>
      </c>
      <c r="H706" s="60">
        <f t="shared" si="134"/>
        <v>84825.119000000006</v>
      </c>
      <c r="I706" s="60">
        <f t="shared" si="133"/>
        <v>98.376343209221901</v>
      </c>
    </row>
    <row r="707" spans="1:9" s="25" customFormat="1" ht="24">
      <c r="A707" s="65" t="s">
        <v>486</v>
      </c>
      <c r="B707" s="107" t="s">
        <v>619</v>
      </c>
      <c r="C707" s="66" t="s">
        <v>430</v>
      </c>
      <c r="D707" s="66" t="s">
        <v>424</v>
      </c>
      <c r="E707" s="66" t="s">
        <v>77</v>
      </c>
      <c r="F707" s="67">
        <f t="shared" si="134"/>
        <v>86225.119000000006</v>
      </c>
      <c r="G707" s="280">
        <f t="shared" si="134"/>
        <v>55345.522819999998</v>
      </c>
      <c r="H707" s="67">
        <f t="shared" si="134"/>
        <v>84825.119000000006</v>
      </c>
      <c r="I707" s="67">
        <f t="shared" si="133"/>
        <v>98.376343209221901</v>
      </c>
    </row>
    <row r="708" spans="1:9" s="25" customFormat="1" ht="24">
      <c r="A708" s="65" t="s">
        <v>78</v>
      </c>
      <c r="B708" s="107" t="s">
        <v>619</v>
      </c>
      <c r="C708" s="66" t="s">
        <v>430</v>
      </c>
      <c r="D708" s="66" t="s">
        <v>424</v>
      </c>
      <c r="E708" s="66" t="s">
        <v>79</v>
      </c>
      <c r="F708" s="67">
        <v>86225.119000000006</v>
      </c>
      <c r="G708" s="280">
        <v>55345.522819999998</v>
      </c>
      <c r="H708" s="67">
        <f>86225.119-1400</f>
        <v>84825.119000000006</v>
      </c>
      <c r="I708" s="67">
        <f t="shared" si="133"/>
        <v>98.376343209221901</v>
      </c>
    </row>
    <row r="709" spans="1:9" s="25" customFormat="1" ht="24">
      <c r="A709" s="58" t="s">
        <v>620</v>
      </c>
      <c r="B709" s="106" t="s">
        <v>621</v>
      </c>
      <c r="C709" s="59"/>
      <c r="D709" s="59"/>
      <c r="E709" s="59"/>
      <c r="F709" s="60">
        <f t="shared" ref="F709:H712" si="135">F710</f>
        <v>32000</v>
      </c>
      <c r="G709" s="296">
        <f t="shared" si="135"/>
        <v>20740.951000000001</v>
      </c>
      <c r="H709" s="60">
        <f t="shared" si="135"/>
        <v>32000</v>
      </c>
      <c r="I709" s="60">
        <f t="shared" si="133"/>
        <v>100</v>
      </c>
    </row>
    <row r="710" spans="1:9" s="25" customFormat="1" ht="15">
      <c r="A710" s="85" t="s">
        <v>338</v>
      </c>
      <c r="B710" s="106" t="s">
        <v>621</v>
      </c>
      <c r="C710" s="59" t="s">
        <v>430</v>
      </c>
      <c r="D710" s="59"/>
      <c r="E710" s="59"/>
      <c r="F710" s="60">
        <f t="shared" si="135"/>
        <v>32000</v>
      </c>
      <c r="G710" s="296">
        <f t="shared" si="135"/>
        <v>20740.951000000001</v>
      </c>
      <c r="H710" s="60">
        <f t="shared" si="135"/>
        <v>32000</v>
      </c>
      <c r="I710" s="60">
        <f t="shared" si="133"/>
        <v>100</v>
      </c>
    </row>
    <row r="711" spans="1:9" s="25" customFormat="1" ht="15">
      <c r="A711" s="85" t="s">
        <v>341</v>
      </c>
      <c r="B711" s="106" t="s">
        <v>621</v>
      </c>
      <c r="C711" s="59" t="s">
        <v>430</v>
      </c>
      <c r="D711" s="59" t="s">
        <v>424</v>
      </c>
      <c r="E711" s="59"/>
      <c r="F711" s="60">
        <f t="shared" si="135"/>
        <v>32000</v>
      </c>
      <c r="G711" s="296">
        <f t="shared" si="135"/>
        <v>20740.951000000001</v>
      </c>
      <c r="H711" s="60">
        <f t="shared" si="135"/>
        <v>32000</v>
      </c>
      <c r="I711" s="60">
        <f t="shared" si="133"/>
        <v>100</v>
      </c>
    </row>
    <row r="712" spans="1:9" s="25" customFormat="1" ht="24">
      <c r="A712" s="65" t="s">
        <v>486</v>
      </c>
      <c r="B712" s="66" t="s">
        <v>621</v>
      </c>
      <c r="C712" s="66" t="s">
        <v>430</v>
      </c>
      <c r="D712" s="66" t="s">
        <v>424</v>
      </c>
      <c r="E712" s="66" t="s">
        <v>77</v>
      </c>
      <c r="F712" s="67">
        <f t="shared" si="135"/>
        <v>32000</v>
      </c>
      <c r="G712" s="295">
        <f t="shared" si="135"/>
        <v>20740.951000000001</v>
      </c>
      <c r="H712" s="67">
        <f t="shared" si="135"/>
        <v>32000</v>
      </c>
      <c r="I712" s="67">
        <f t="shared" si="133"/>
        <v>100</v>
      </c>
    </row>
    <row r="713" spans="1:9" s="25" customFormat="1" ht="24">
      <c r="A713" s="65" t="s">
        <v>78</v>
      </c>
      <c r="B713" s="66" t="s">
        <v>621</v>
      </c>
      <c r="C713" s="66" t="s">
        <v>430</v>
      </c>
      <c r="D713" s="66" t="s">
        <v>424</v>
      </c>
      <c r="E713" s="66" t="s">
        <v>79</v>
      </c>
      <c r="F713" s="67">
        <v>32000</v>
      </c>
      <c r="G713" s="295">
        <v>20740.951000000001</v>
      </c>
      <c r="H713" s="67">
        <v>32000</v>
      </c>
      <c r="I713" s="67">
        <f t="shared" si="133"/>
        <v>100</v>
      </c>
    </row>
    <row r="714" spans="1:9" s="194" customFormat="1" ht="15">
      <c r="A714" s="58" t="s">
        <v>733</v>
      </c>
      <c r="B714" s="59" t="s">
        <v>734</v>
      </c>
      <c r="C714" s="59"/>
      <c r="D714" s="59"/>
      <c r="E714" s="59"/>
      <c r="F714" s="78">
        <f t="shared" ref="F714:H717" si="136">F715</f>
        <v>559.91845000000012</v>
      </c>
      <c r="G714" s="273">
        <f t="shared" si="136"/>
        <v>0</v>
      </c>
      <c r="H714" s="78">
        <f t="shared" si="136"/>
        <v>559.91845000000012</v>
      </c>
      <c r="I714" s="60">
        <f t="shared" si="133"/>
        <v>100</v>
      </c>
    </row>
    <row r="715" spans="1:9" s="194" customFormat="1" ht="15">
      <c r="A715" s="58" t="s">
        <v>585</v>
      </c>
      <c r="B715" s="59" t="s">
        <v>734</v>
      </c>
      <c r="C715" s="59" t="s">
        <v>428</v>
      </c>
      <c r="D715" s="59"/>
      <c r="E715" s="59"/>
      <c r="F715" s="78">
        <f t="shared" si="136"/>
        <v>559.91845000000012</v>
      </c>
      <c r="G715" s="273">
        <f t="shared" si="136"/>
        <v>0</v>
      </c>
      <c r="H715" s="78">
        <f t="shared" si="136"/>
        <v>559.91845000000012</v>
      </c>
      <c r="I715" s="60">
        <f t="shared" si="133"/>
        <v>100</v>
      </c>
    </row>
    <row r="716" spans="1:9" s="194" customFormat="1" ht="15">
      <c r="A716" s="58" t="s">
        <v>408</v>
      </c>
      <c r="B716" s="59" t="s">
        <v>734</v>
      </c>
      <c r="C716" s="59" t="s">
        <v>428</v>
      </c>
      <c r="D716" s="59" t="s">
        <v>71</v>
      </c>
      <c r="E716" s="59"/>
      <c r="F716" s="78">
        <f t="shared" si="136"/>
        <v>559.91845000000012</v>
      </c>
      <c r="G716" s="273">
        <f t="shared" si="136"/>
        <v>0</v>
      </c>
      <c r="H716" s="78">
        <f t="shared" si="136"/>
        <v>559.91845000000012</v>
      </c>
      <c r="I716" s="60">
        <f t="shared" si="133"/>
        <v>100</v>
      </c>
    </row>
    <row r="717" spans="1:9" s="194" customFormat="1" ht="24">
      <c r="A717" s="65" t="s">
        <v>486</v>
      </c>
      <c r="B717" s="66" t="s">
        <v>734</v>
      </c>
      <c r="C717" s="66" t="s">
        <v>428</v>
      </c>
      <c r="D717" s="66" t="s">
        <v>71</v>
      </c>
      <c r="E717" s="66" t="s">
        <v>77</v>
      </c>
      <c r="F717" s="79">
        <f t="shared" si="136"/>
        <v>559.91845000000012</v>
      </c>
      <c r="G717" s="272">
        <f t="shared" si="136"/>
        <v>0</v>
      </c>
      <c r="H717" s="79">
        <f t="shared" si="136"/>
        <v>559.91845000000012</v>
      </c>
      <c r="I717" s="67">
        <f t="shared" si="133"/>
        <v>100</v>
      </c>
    </row>
    <row r="718" spans="1:9" s="194" customFormat="1" ht="24">
      <c r="A718" s="65" t="s">
        <v>78</v>
      </c>
      <c r="B718" s="66" t="s">
        <v>734</v>
      </c>
      <c r="C718" s="66" t="s">
        <v>428</v>
      </c>
      <c r="D718" s="66" t="s">
        <v>71</v>
      </c>
      <c r="E718" s="66" t="s">
        <v>79</v>
      </c>
      <c r="F718" s="79">
        <f>5000-600-3790.08155-50</f>
        <v>559.91845000000012</v>
      </c>
      <c r="G718" s="272">
        <v>0</v>
      </c>
      <c r="H718" s="79">
        <f>5000-600-3790.08155-50</f>
        <v>559.91845000000012</v>
      </c>
      <c r="I718" s="67">
        <f t="shared" si="133"/>
        <v>100</v>
      </c>
    </row>
    <row r="719" spans="1:9" s="25" customFormat="1" ht="15">
      <c r="A719" s="133" t="s">
        <v>764</v>
      </c>
      <c r="B719" s="132" t="s">
        <v>765</v>
      </c>
      <c r="C719" s="132"/>
      <c r="D719" s="132"/>
      <c r="E719" s="132"/>
      <c r="F719" s="196">
        <f t="shared" ref="F719:H722" si="137">F720</f>
        <v>765.02</v>
      </c>
      <c r="G719" s="289">
        <f t="shared" si="137"/>
        <v>765.02</v>
      </c>
      <c r="H719" s="196">
        <f t="shared" si="137"/>
        <v>765.02</v>
      </c>
      <c r="I719" s="60">
        <f t="shared" si="133"/>
        <v>100</v>
      </c>
    </row>
    <row r="720" spans="1:9" s="25" customFormat="1" ht="15">
      <c r="A720" s="133" t="s">
        <v>585</v>
      </c>
      <c r="B720" s="132" t="s">
        <v>765</v>
      </c>
      <c r="C720" s="132" t="s">
        <v>428</v>
      </c>
      <c r="D720" s="132"/>
      <c r="E720" s="132"/>
      <c r="F720" s="196">
        <f t="shared" si="137"/>
        <v>765.02</v>
      </c>
      <c r="G720" s="289">
        <f t="shared" si="137"/>
        <v>765.02</v>
      </c>
      <c r="H720" s="196">
        <f t="shared" si="137"/>
        <v>765.02</v>
      </c>
      <c r="I720" s="60">
        <f t="shared" si="133"/>
        <v>100</v>
      </c>
    </row>
    <row r="721" spans="1:9" s="25" customFormat="1" ht="15">
      <c r="A721" s="133" t="s">
        <v>408</v>
      </c>
      <c r="B721" s="132" t="s">
        <v>765</v>
      </c>
      <c r="C721" s="132" t="s">
        <v>428</v>
      </c>
      <c r="D721" s="132" t="s">
        <v>71</v>
      </c>
      <c r="E721" s="132"/>
      <c r="F721" s="196">
        <f t="shared" si="137"/>
        <v>765.02</v>
      </c>
      <c r="G721" s="289">
        <f t="shared" si="137"/>
        <v>765.02</v>
      </c>
      <c r="H721" s="196">
        <f t="shared" si="137"/>
        <v>765.02</v>
      </c>
      <c r="I721" s="60">
        <f t="shared" si="133"/>
        <v>100</v>
      </c>
    </row>
    <row r="722" spans="1:9" s="25" customFormat="1" ht="24">
      <c r="A722" s="131" t="s">
        <v>486</v>
      </c>
      <c r="B722" s="22" t="s">
        <v>765</v>
      </c>
      <c r="C722" s="22" t="s">
        <v>428</v>
      </c>
      <c r="D722" s="22" t="s">
        <v>71</v>
      </c>
      <c r="E722" s="22" t="s">
        <v>77</v>
      </c>
      <c r="F722" s="176">
        <f t="shared" si="137"/>
        <v>765.02</v>
      </c>
      <c r="G722" s="288">
        <f t="shared" si="137"/>
        <v>765.02</v>
      </c>
      <c r="H722" s="176">
        <f t="shared" si="137"/>
        <v>765.02</v>
      </c>
      <c r="I722" s="67">
        <f t="shared" si="133"/>
        <v>100</v>
      </c>
    </row>
    <row r="723" spans="1:9" s="25" customFormat="1" ht="24">
      <c r="A723" s="131" t="s">
        <v>78</v>
      </c>
      <c r="B723" s="22" t="s">
        <v>765</v>
      </c>
      <c r="C723" s="22" t="s">
        <v>428</v>
      </c>
      <c r="D723" s="22" t="s">
        <v>71</v>
      </c>
      <c r="E723" s="22" t="s">
        <v>79</v>
      </c>
      <c r="F723" s="176">
        <v>765.02</v>
      </c>
      <c r="G723" s="288">
        <v>765.02</v>
      </c>
      <c r="H723" s="176">
        <v>765.02</v>
      </c>
      <c r="I723" s="67">
        <f t="shared" si="133"/>
        <v>100</v>
      </c>
    </row>
    <row r="724" spans="1:9" s="25" customFormat="1" ht="15">
      <c r="A724" s="133" t="s">
        <v>766</v>
      </c>
      <c r="B724" s="132" t="s">
        <v>767</v>
      </c>
      <c r="C724" s="132"/>
      <c r="D724" s="132"/>
      <c r="E724" s="132"/>
      <c r="F724" s="196">
        <f t="shared" ref="F724:H727" si="138">F725</f>
        <v>30000</v>
      </c>
      <c r="G724" s="289">
        <f t="shared" si="138"/>
        <v>0</v>
      </c>
      <c r="H724" s="196">
        <f t="shared" si="138"/>
        <v>25000</v>
      </c>
      <c r="I724" s="60">
        <f t="shared" si="133"/>
        <v>83.333333333333343</v>
      </c>
    </row>
    <row r="725" spans="1:9" s="25" customFormat="1" ht="15">
      <c r="A725" s="133" t="s">
        <v>333</v>
      </c>
      <c r="B725" s="132" t="s">
        <v>767</v>
      </c>
      <c r="C725" s="132" t="s">
        <v>376</v>
      </c>
      <c r="D725" s="132"/>
      <c r="E725" s="132"/>
      <c r="F725" s="196">
        <f t="shared" si="138"/>
        <v>30000</v>
      </c>
      <c r="G725" s="289">
        <f t="shared" si="138"/>
        <v>0</v>
      </c>
      <c r="H725" s="196">
        <f t="shared" si="138"/>
        <v>25000</v>
      </c>
      <c r="I725" s="60">
        <f t="shared" si="133"/>
        <v>83.333333333333343</v>
      </c>
    </row>
    <row r="726" spans="1:9" s="25" customFormat="1" ht="15">
      <c r="A726" s="133" t="s">
        <v>335</v>
      </c>
      <c r="B726" s="132" t="s">
        <v>767</v>
      </c>
      <c r="C726" s="132" t="s">
        <v>376</v>
      </c>
      <c r="D726" s="132" t="s">
        <v>431</v>
      </c>
      <c r="E726" s="132"/>
      <c r="F726" s="196">
        <f t="shared" si="138"/>
        <v>30000</v>
      </c>
      <c r="G726" s="289">
        <f t="shared" si="138"/>
        <v>0</v>
      </c>
      <c r="H726" s="196">
        <f t="shared" si="138"/>
        <v>25000</v>
      </c>
      <c r="I726" s="60">
        <f t="shared" si="133"/>
        <v>83.333333333333343</v>
      </c>
    </row>
    <row r="727" spans="1:9" s="25" customFormat="1" ht="24">
      <c r="A727" s="131" t="s">
        <v>486</v>
      </c>
      <c r="B727" s="22" t="s">
        <v>767</v>
      </c>
      <c r="C727" s="22" t="s">
        <v>376</v>
      </c>
      <c r="D727" s="22" t="s">
        <v>431</v>
      </c>
      <c r="E727" s="22" t="s">
        <v>77</v>
      </c>
      <c r="F727" s="176">
        <f t="shared" si="138"/>
        <v>30000</v>
      </c>
      <c r="G727" s="288">
        <f t="shared" si="138"/>
        <v>0</v>
      </c>
      <c r="H727" s="176">
        <f t="shared" si="138"/>
        <v>25000</v>
      </c>
      <c r="I727" s="67">
        <f t="shared" si="133"/>
        <v>83.333333333333343</v>
      </c>
    </row>
    <row r="728" spans="1:9" s="25" customFormat="1" ht="24">
      <c r="A728" s="131" t="s">
        <v>78</v>
      </c>
      <c r="B728" s="22" t="s">
        <v>767</v>
      </c>
      <c r="C728" s="22" t="s">
        <v>376</v>
      </c>
      <c r="D728" s="22" t="s">
        <v>431</v>
      </c>
      <c r="E728" s="22" t="s">
        <v>79</v>
      </c>
      <c r="F728" s="176">
        <v>30000</v>
      </c>
      <c r="G728" s="288">
        <v>0</v>
      </c>
      <c r="H728" s="176">
        <f>30000-5000</f>
        <v>25000</v>
      </c>
      <c r="I728" s="67">
        <f t="shared" si="133"/>
        <v>83.333333333333343</v>
      </c>
    </row>
    <row r="729" spans="1:9" s="25" customFormat="1" ht="15">
      <c r="A729" s="133" t="s">
        <v>790</v>
      </c>
      <c r="B729" s="132" t="s">
        <v>789</v>
      </c>
      <c r="C729" s="132"/>
      <c r="D729" s="132"/>
      <c r="E729" s="132"/>
      <c r="F729" s="196">
        <f t="shared" ref="F729:H732" si="139">F730</f>
        <v>5000</v>
      </c>
      <c r="G729" s="289">
        <f t="shared" si="139"/>
        <v>0</v>
      </c>
      <c r="H729" s="196">
        <f t="shared" si="139"/>
        <v>0</v>
      </c>
      <c r="I729" s="78">
        <f t="shared" si="133"/>
        <v>0</v>
      </c>
    </row>
    <row r="730" spans="1:9" s="25" customFormat="1" ht="15">
      <c r="A730" s="133" t="s">
        <v>333</v>
      </c>
      <c r="B730" s="132" t="s">
        <v>789</v>
      </c>
      <c r="C730" s="132" t="s">
        <v>376</v>
      </c>
      <c r="D730" s="132"/>
      <c r="E730" s="132"/>
      <c r="F730" s="196">
        <f t="shared" si="139"/>
        <v>5000</v>
      </c>
      <c r="G730" s="289">
        <f t="shared" si="139"/>
        <v>0</v>
      </c>
      <c r="H730" s="196">
        <f t="shared" si="139"/>
        <v>0</v>
      </c>
      <c r="I730" s="78">
        <f t="shared" si="133"/>
        <v>0</v>
      </c>
    </row>
    <row r="731" spans="1:9" s="25" customFormat="1" ht="15">
      <c r="A731" s="133" t="s">
        <v>335</v>
      </c>
      <c r="B731" s="132" t="s">
        <v>789</v>
      </c>
      <c r="C731" s="132" t="s">
        <v>376</v>
      </c>
      <c r="D731" s="132" t="s">
        <v>431</v>
      </c>
      <c r="E731" s="132"/>
      <c r="F731" s="196">
        <f t="shared" si="139"/>
        <v>5000</v>
      </c>
      <c r="G731" s="289">
        <f t="shared" si="139"/>
        <v>0</v>
      </c>
      <c r="H731" s="196">
        <f t="shared" si="139"/>
        <v>0</v>
      </c>
      <c r="I731" s="78">
        <f t="shared" si="133"/>
        <v>0</v>
      </c>
    </row>
    <row r="732" spans="1:9" s="25" customFormat="1" ht="24">
      <c r="A732" s="131" t="s">
        <v>486</v>
      </c>
      <c r="B732" s="22" t="s">
        <v>789</v>
      </c>
      <c r="C732" s="22" t="s">
        <v>376</v>
      </c>
      <c r="D732" s="22" t="s">
        <v>431</v>
      </c>
      <c r="E732" s="22" t="s">
        <v>77</v>
      </c>
      <c r="F732" s="176">
        <f t="shared" si="139"/>
        <v>5000</v>
      </c>
      <c r="G732" s="288">
        <f t="shared" si="139"/>
        <v>0</v>
      </c>
      <c r="H732" s="176">
        <f t="shared" si="139"/>
        <v>0</v>
      </c>
      <c r="I732" s="79">
        <f t="shared" si="133"/>
        <v>0</v>
      </c>
    </row>
    <row r="733" spans="1:9" s="25" customFormat="1" ht="24">
      <c r="A733" s="131" t="s">
        <v>78</v>
      </c>
      <c r="B733" s="22" t="s">
        <v>789</v>
      </c>
      <c r="C733" s="22" t="s">
        <v>376</v>
      </c>
      <c r="D733" s="22" t="s">
        <v>431</v>
      </c>
      <c r="E733" s="22" t="s">
        <v>79</v>
      </c>
      <c r="F733" s="176">
        <v>5000</v>
      </c>
      <c r="G733" s="288">
        <v>0</v>
      </c>
      <c r="H733" s="176">
        <f>5000-5000</f>
        <v>0</v>
      </c>
      <c r="I733" s="79">
        <f t="shared" si="133"/>
        <v>0</v>
      </c>
    </row>
    <row r="734" spans="1:9" s="25" customFormat="1" ht="27">
      <c r="A734" s="138" t="s">
        <v>573</v>
      </c>
      <c r="B734" s="137" t="s">
        <v>48</v>
      </c>
      <c r="C734" s="137"/>
      <c r="D734" s="137"/>
      <c r="E734" s="165"/>
      <c r="F734" s="136">
        <f>F735+F741+F747+F754</f>
        <v>40145.200000000004</v>
      </c>
      <c r="G734" s="283">
        <f>G735+G741+G747+G754</f>
        <v>27338.92354</v>
      </c>
      <c r="H734" s="136">
        <f>H735+H741+H747+H754</f>
        <v>40145.200000000004</v>
      </c>
      <c r="I734" s="136">
        <f t="shared" si="133"/>
        <v>100</v>
      </c>
    </row>
    <row r="735" spans="1:9" s="25" customFormat="1" ht="15">
      <c r="A735" s="85" t="s">
        <v>51</v>
      </c>
      <c r="B735" s="59" t="s">
        <v>52</v>
      </c>
      <c r="C735" s="59"/>
      <c r="D735" s="59"/>
      <c r="E735" s="59"/>
      <c r="F735" s="60">
        <f t="shared" ref="F735:H739" si="140">F736</f>
        <v>1520</v>
      </c>
      <c r="G735" s="282">
        <f t="shared" si="140"/>
        <v>709.33669999999995</v>
      </c>
      <c r="H735" s="60">
        <f t="shared" si="140"/>
        <v>1520</v>
      </c>
      <c r="I735" s="60">
        <f t="shared" si="133"/>
        <v>100</v>
      </c>
    </row>
    <row r="736" spans="1:9" s="25" customFormat="1" ht="24">
      <c r="A736" s="70" t="s">
        <v>314</v>
      </c>
      <c r="B736" s="71" t="s">
        <v>574</v>
      </c>
      <c r="C736" s="71"/>
      <c r="D736" s="71"/>
      <c r="E736" s="71"/>
      <c r="F736" s="72">
        <f t="shared" si="140"/>
        <v>1520</v>
      </c>
      <c r="G736" s="281">
        <f t="shared" si="140"/>
        <v>709.33669999999995</v>
      </c>
      <c r="H736" s="72">
        <f t="shared" si="140"/>
        <v>1520</v>
      </c>
      <c r="I736" s="72">
        <f t="shared" si="133"/>
        <v>100</v>
      </c>
    </row>
    <row r="737" spans="1:9" s="25" customFormat="1" ht="15">
      <c r="A737" s="70" t="s">
        <v>338</v>
      </c>
      <c r="B737" s="59" t="s">
        <v>574</v>
      </c>
      <c r="C737" s="59" t="s">
        <v>430</v>
      </c>
      <c r="D737" s="59"/>
      <c r="E737" s="71"/>
      <c r="F737" s="60">
        <f t="shared" si="140"/>
        <v>1520</v>
      </c>
      <c r="G737" s="282">
        <f t="shared" si="140"/>
        <v>709.33669999999995</v>
      </c>
      <c r="H737" s="60">
        <f t="shared" si="140"/>
        <v>1520</v>
      </c>
      <c r="I737" s="60">
        <f t="shared" si="133"/>
        <v>100</v>
      </c>
    </row>
    <row r="738" spans="1:9" s="25" customFormat="1" ht="15">
      <c r="A738" s="70" t="s">
        <v>568</v>
      </c>
      <c r="B738" s="59" t="s">
        <v>574</v>
      </c>
      <c r="C738" s="59" t="s">
        <v>430</v>
      </c>
      <c r="D738" s="59" t="s">
        <v>430</v>
      </c>
      <c r="E738" s="71"/>
      <c r="F738" s="60">
        <f t="shared" si="140"/>
        <v>1520</v>
      </c>
      <c r="G738" s="282">
        <f t="shared" si="140"/>
        <v>709.33669999999995</v>
      </c>
      <c r="H738" s="60">
        <f t="shared" si="140"/>
        <v>1520</v>
      </c>
      <c r="I738" s="60">
        <f t="shared" si="133"/>
        <v>100</v>
      </c>
    </row>
    <row r="739" spans="1:9" s="25" customFormat="1" ht="24">
      <c r="A739" s="65" t="s">
        <v>94</v>
      </c>
      <c r="B739" s="66" t="s">
        <v>574</v>
      </c>
      <c r="C739" s="66" t="s">
        <v>430</v>
      </c>
      <c r="D739" s="66" t="s">
        <v>430</v>
      </c>
      <c r="E739" s="66" t="s">
        <v>362</v>
      </c>
      <c r="F739" s="67">
        <f t="shared" si="140"/>
        <v>1520</v>
      </c>
      <c r="G739" s="280">
        <f t="shared" si="140"/>
        <v>709.33669999999995</v>
      </c>
      <c r="H739" s="67">
        <f t="shared" si="140"/>
        <v>1520</v>
      </c>
      <c r="I739" s="67">
        <f t="shared" si="133"/>
        <v>100</v>
      </c>
    </row>
    <row r="740" spans="1:9" s="25" customFormat="1" ht="15">
      <c r="A740" s="65" t="s">
        <v>447</v>
      </c>
      <c r="B740" s="66" t="s">
        <v>574</v>
      </c>
      <c r="C740" s="66" t="s">
        <v>430</v>
      </c>
      <c r="D740" s="66" t="s">
        <v>430</v>
      </c>
      <c r="E740" s="66" t="s">
        <v>448</v>
      </c>
      <c r="F740" s="67">
        <v>1520</v>
      </c>
      <c r="G740" s="280">
        <v>709.33669999999995</v>
      </c>
      <c r="H740" s="67">
        <v>1520</v>
      </c>
      <c r="I740" s="67">
        <f t="shared" si="133"/>
        <v>100</v>
      </c>
    </row>
    <row r="741" spans="1:9" s="25" customFormat="1" ht="24">
      <c r="A741" s="58" t="s">
        <v>479</v>
      </c>
      <c r="B741" s="59" t="s">
        <v>59</v>
      </c>
      <c r="C741" s="59"/>
      <c r="D741" s="59"/>
      <c r="E741" s="63"/>
      <c r="F741" s="60">
        <f t="shared" ref="F741:H745" si="141">F742</f>
        <v>3800</v>
      </c>
      <c r="G741" s="282">
        <f t="shared" si="141"/>
        <v>1976.1948299999999</v>
      </c>
      <c r="H741" s="60">
        <f t="shared" si="141"/>
        <v>3800</v>
      </c>
      <c r="I741" s="60">
        <f t="shared" si="133"/>
        <v>100</v>
      </c>
    </row>
    <row r="742" spans="1:9" s="25" customFormat="1" ht="24">
      <c r="A742" s="70" t="s">
        <v>315</v>
      </c>
      <c r="B742" s="71" t="s">
        <v>575</v>
      </c>
      <c r="C742" s="71"/>
      <c r="D742" s="71"/>
      <c r="E742" s="71"/>
      <c r="F742" s="72">
        <f t="shared" si="141"/>
        <v>3800</v>
      </c>
      <c r="G742" s="281">
        <f t="shared" si="141"/>
        <v>1976.1948299999999</v>
      </c>
      <c r="H742" s="72">
        <f t="shared" si="141"/>
        <v>3800</v>
      </c>
      <c r="I742" s="72">
        <f t="shared" si="133"/>
        <v>100</v>
      </c>
    </row>
    <row r="743" spans="1:9" s="25" customFormat="1" ht="15">
      <c r="A743" s="58" t="s">
        <v>353</v>
      </c>
      <c r="B743" s="71" t="s">
        <v>575</v>
      </c>
      <c r="C743" s="59" t="s">
        <v>83</v>
      </c>
      <c r="D743" s="59"/>
      <c r="E743" s="71"/>
      <c r="F743" s="60">
        <f t="shared" si="141"/>
        <v>3800</v>
      </c>
      <c r="G743" s="282">
        <f t="shared" si="141"/>
        <v>1976.1948299999999</v>
      </c>
      <c r="H743" s="60">
        <f t="shared" si="141"/>
        <v>3800</v>
      </c>
      <c r="I743" s="60">
        <f t="shared" si="133"/>
        <v>100</v>
      </c>
    </row>
    <row r="744" spans="1:9" s="25" customFormat="1" ht="15">
      <c r="A744" s="58" t="s">
        <v>57</v>
      </c>
      <c r="B744" s="71" t="s">
        <v>575</v>
      </c>
      <c r="C744" s="59" t="s">
        <v>83</v>
      </c>
      <c r="D744" s="59" t="s">
        <v>69</v>
      </c>
      <c r="E744" s="71"/>
      <c r="F744" s="60">
        <f t="shared" si="141"/>
        <v>3800</v>
      </c>
      <c r="G744" s="282">
        <f t="shared" si="141"/>
        <v>1976.1948299999999</v>
      </c>
      <c r="H744" s="60">
        <f t="shared" si="141"/>
        <v>3800</v>
      </c>
      <c r="I744" s="60">
        <f t="shared" si="133"/>
        <v>100</v>
      </c>
    </row>
    <row r="745" spans="1:9" s="25" customFormat="1" ht="24">
      <c r="A745" s="65" t="s">
        <v>94</v>
      </c>
      <c r="B745" s="66" t="s">
        <v>575</v>
      </c>
      <c r="C745" s="66" t="s">
        <v>83</v>
      </c>
      <c r="D745" s="66" t="s">
        <v>69</v>
      </c>
      <c r="E745" s="66" t="s">
        <v>362</v>
      </c>
      <c r="F745" s="67">
        <f t="shared" si="141"/>
        <v>3800</v>
      </c>
      <c r="G745" s="280">
        <f t="shared" si="141"/>
        <v>1976.1948299999999</v>
      </c>
      <c r="H745" s="67">
        <f t="shared" si="141"/>
        <v>3800</v>
      </c>
      <c r="I745" s="67">
        <f t="shared" si="133"/>
        <v>100</v>
      </c>
    </row>
    <row r="746" spans="1:9" s="25" customFormat="1" ht="15">
      <c r="A746" s="65" t="s">
        <v>447</v>
      </c>
      <c r="B746" s="66" t="s">
        <v>575</v>
      </c>
      <c r="C746" s="66" t="s">
        <v>83</v>
      </c>
      <c r="D746" s="66" t="s">
        <v>69</v>
      </c>
      <c r="E746" s="66" t="s">
        <v>448</v>
      </c>
      <c r="F746" s="67">
        <f>3500+300</f>
        <v>3800</v>
      </c>
      <c r="G746" s="280">
        <v>1976.1948299999999</v>
      </c>
      <c r="H746" s="67">
        <f>3500+300</f>
        <v>3800</v>
      </c>
      <c r="I746" s="67">
        <f t="shared" si="133"/>
        <v>100</v>
      </c>
    </row>
    <row r="747" spans="1:9" s="25" customFormat="1" ht="24">
      <c r="A747" s="85" t="s">
        <v>47</v>
      </c>
      <c r="B747" s="59" t="s">
        <v>49</v>
      </c>
      <c r="C747" s="59"/>
      <c r="D747" s="59"/>
      <c r="E747" s="59"/>
      <c r="F747" s="78">
        <f t="shared" ref="F747:H752" si="142">F748</f>
        <v>30425.200000000004</v>
      </c>
      <c r="G747" s="273">
        <f t="shared" si="142"/>
        <v>21572.27953</v>
      </c>
      <c r="H747" s="78">
        <f t="shared" si="142"/>
        <v>30425.200000000004</v>
      </c>
      <c r="I747" s="60">
        <f t="shared" si="133"/>
        <v>100</v>
      </c>
    </row>
    <row r="748" spans="1:9" s="25" customFormat="1" ht="24">
      <c r="A748" s="85" t="s">
        <v>50</v>
      </c>
      <c r="B748" s="59" t="s">
        <v>576</v>
      </c>
      <c r="C748" s="59"/>
      <c r="D748" s="59"/>
      <c r="E748" s="59"/>
      <c r="F748" s="78">
        <f t="shared" si="142"/>
        <v>30425.200000000004</v>
      </c>
      <c r="G748" s="273">
        <f t="shared" si="142"/>
        <v>21572.27953</v>
      </c>
      <c r="H748" s="78">
        <f t="shared" si="142"/>
        <v>30425.200000000004</v>
      </c>
      <c r="I748" s="60">
        <f t="shared" si="133"/>
        <v>100</v>
      </c>
    </row>
    <row r="749" spans="1:9" s="25" customFormat="1" ht="15">
      <c r="A749" s="58" t="s">
        <v>353</v>
      </c>
      <c r="B749" s="59" t="s">
        <v>576</v>
      </c>
      <c r="C749" s="59" t="s">
        <v>83</v>
      </c>
      <c r="D749" s="59"/>
      <c r="E749" s="59"/>
      <c r="F749" s="78">
        <f t="shared" si="142"/>
        <v>30425.200000000004</v>
      </c>
      <c r="G749" s="273">
        <f t="shared" si="142"/>
        <v>21572.27953</v>
      </c>
      <c r="H749" s="78">
        <f t="shared" si="142"/>
        <v>30425.200000000004</v>
      </c>
      <c r="I749" s="60">
        <f t="shared" si="133"/>
        <v>100</v>
      </c>
    </row>
    <row r="750" spans="1:9" s="25" customFormat="1" ht="15">
      <c r="A750" s="58" t="s">
        <v>57</v>
      </c>
      <c r="B750" s="59" t="s">
        <v>576</v>
      </c>
      <c r="C750" s="59" t="s">
        <v>83</v>
      </c>
      <c r="D750" s="59" t="s">
        <v>69</v>
      </c>
      <c r="E750" s="59"/>
      <c r="F750" s="78">
        <f t="shared" si="142"/>
        <v>30425.200000000004</v>
      </c>
      <c r="G750" s="273">
        <f t="shared" si="142"/>
        <v>21572.27953</v>
      </c>
      <c r="H750" s="78">
        <f t="shared" si="142"/>
        <v>30425.200000000004</v>
      </c>
      <c r="I750" s="60">
        <f t="shared" si="133"/>
        <v>100</v>
      </c>
    </row>
    <row r="751" spans="1:9" s="25" customFormat="1" ht="24">
      <c r="A751" s="103" t="s">
        <v>277</v>
      </c>
      <c r="B751" s="83" t="s">
        <v>576</v>
      </c>
      <c r="C751" s="83" t="s">
        <v>83</v>
      </c>
      <c r="D751" s="83" t="s">
        <v>69</v>
      </c>
      <c r="E751" s="83"/>
      <c r="F751" s="124">
        <f t="shared" si="142"/>
        <v>30425.200000000004</v>
      </c>
      <c r="G751" s="294">
        <f t="shared" si="142"/>
        <v>21572.27953</v>
      </c>
      <c r="H751" s="124">
        <f t="shared" si="142"/>
        <v>30425.200000000004</v>
      </c>
      <c r="I751" s="88">
        <f t="shared" si="133"/>
        <v>100</v>
      </c>
    </row>
    <row r="752" spans="1:9" s="25" customFormat="1" ht="24">
      <c r="A752" s="65" t="s">
        <v>94</v>
      </c>
      <c r="B752" s="66" t="s">
        <v>576</v>
      </c>
      <c r="C752" s="66" t="s">
        <v>83</v>
      </c>
      <c r="D752" s="66" t="s">
        <v>69</v>
      </c>
      <c r="E752" s="66" t="s">
        <v>362</v>
      </c>
      <c r="F752" s="79">
        <f t="shared" si="142"/>
        <v>30425.200000000004</v>
      </c>
      <c r="G752" s="272">
        <f t="shared" si="142"/>
        <v>21572.27953</v>
      </c>
      <c r="H752" s="79">
        <f t="shared" si="142"/>
        <v>30425.200000000004</v>
      </c>
      <c r="I752" s="67">
        <f t="shared" si="133"/>
        <v>100</v>
      </c>
    </row>
    <row r="753" spans="1:9" s="25" customFormat="1" ht="15">
      <c r="A753" s="65" t="s">
        <v>447</v>
      </c>
      <c r="B753" s="66" t="s">
        <v>576</v>
      </c>
      <c r="C753" s="66" t="s">
        <v>83</v>
      </c>
      <c r="D753" s="66" t="s">
        <v>69</v>
      </c>
      <c r="E753" s="66" t="s">
        <v>448</v>
      </c>
      <c r="F753" s="79">
        <v>30425.200000000004</v>
      </c>
      <c r="G753" s="272">
        <v>21572.27953</v>
      </c>
      <c r="H753" s="79">
        <v>30425.200000000004</v>
      </c>
      <c r="I753" s="67">
        <f t="shared" si="133"/>
        <v>100</v>
      </c>
    </row>
    <row r="754" spans="1:9" s="25" customFormat="1" ht="24">
      <c r="A754" s="58" t="s">
        <v>60</v>
      </c>
      <c r="B754" s="59" t="s">
        <v>61</v>
      </c>
      <c r="C754" s="59"/>
      <c r="D754" s="59"/>
      <c r="E754" s="59"/>
      <c r="F754" s="60">
        <f>F755+F761</f>
        <v>4400</v>
      </c>
      <c r="G754" s="282">
        <f>G755+G761</f>
        <v>3081.1124799999998</v>
      </c>
      <c r="H754" s="60">
        <f>H755+H761</f>
        <v>4400</v>
      </c>
      <c r="I754" s="60">
        <f t="shared" si="133"/>
        <v>100</v>
      </c>
    </row>
    <row r="755" spans="1:9" s="25" customFormat="1" ht="36">
      <c r="A755" s="58" t="s">
        <v>280</v>
      </c>
      <c r="B755" s="59" t="s">
        <v>62</v>
      </c>
      <c r="C755" s="59"/>
      <c r="D755" s="59"/>
      <c r="E755" s="59"/>
      <c r="F755" s="60">
        <f t="shared" ref="F755:H759" si="143">F756</f>
        <v>4227</v>
      </c>
      <c r="G755" s="282">
        <f t="shared" si="143"/>
        <v>2943.99262</v>
      </c>
      <c r="H755" s="60">
        <f t="shared" si="143"/>
        <v>4227</v>
      </c>
      <c r="I755" s="60">
        <f t="shared" si="133"/>
        <v>100</v>
      </c>
    </row>
    <row r="756" spans="1:9" s="25" customFormat="1" ht="15">
      <c r="A756" s="58" t="s">
        <v>353</v>
      </c>
      <c r="B756" s="59" t="s">
        <v>62</v>
      </c>
      <c r="C756" s="59" t="s">
        <v>83</v>
      </c>
      <c r="D756" s="59"/>
      <c r="E756" s="59"/>
      <c r="F756" s="60">
        <f t="shared" si="143"/>
        <v>4227</v>
      </c>
      <c r="G756" s="282">
        <f t="shared" si="143"/>
        <v>2943.99262</v>
      </c>
      <c r="H756" s="60">
        <f t="shared" si="143"/>
        <v>4227</v>
      </c>
      <c r="I756" s="60">
        <f t="shared" si="133"/>
        <v>100</v>
      </c>
    </row>
    <row r="757" spans="1:9" s="25" customFormat="1" ht="15">
      <c r="A757" s="133" t="s">
        <v>697</v>
      </c>
      <c r="B757" s="132" t="s">
        <v>62</v>
      </c>
      <c r="C757" s="132" t="s">
        <v>83</v>
      </c>
      <c r="D757" s="132" t="s">
        <v>376</v>
      </c>
      <c r="E757" s="59"/>
      <c r="F757" s="60">
        <f t="shared" si="143"/>
        <v>4227</v>
      </c>
      <c r="G757" s="282">
        <f t="shared" si="143"/>
        <v>2943.99262</v>
      </c>
      <c r="H757" s="60">
        <f t="shared" si="143"/>
        <v>4227</v>
      </c>
      <c r="I757" s="60">
        <f t="shared" si="133"/>
        <v>100</v>
      </c>
    </row>
    <row r="758" spans="1:9" s="25" customFormat="1" ht="24">
      <c r="A758" s="173" t="s">
        <v>271</v>
      </c>
      <c r="B758" s="140" t="s">
        <v>62</v>
      </c>
      <c r="C758" s="140" t="s">
        <v>83</v>
      </c>
      <c r="D758" s="140" t="s">
        <v>376</v>
      </c>
      <c r="E758" s="71"/>
      <c r="F758" s="72">
        <f t="shared" si="143"/>
        <v>4227</v>
      </c>
      <c r="G758" s="281">
        <f t="shared" si="143"/>
        <v>2943.99262</v>
      </c>
      <c r="H758" s="72">
        <f t="shared" si="143"/>
        <v>4227</v>
      </c>
      <c r="I758" s="72">
        <f t="shared" si="133"/>
        <v>100</v>
      </c>
    </row>
    <row r="759" spans="1:9" s="25" customFormat="1" ht="36">
      <c r="A759" s="131" t="s">
        <v>72</v>
      </c>
      <c r="B759" s="22" t="s">
        <v>62</v>
      </c>
      <c r="C759" s="22" t="s">
        <v>83</v>
      </c>
      <c r="D759" s="22" t="s">
        <v>376</v>
      </c>
      <c r="E759" s="66" t="s">
        <v>73</v>
      </c>
      <c r="F759" s="67">
        <f t="shared" si="143"/>
        <v>4227</v>
      </c>
      <c r="G759" s="280">
        <f t="shared" si="143"/>
        <v>2943.99262</v>
      </c>
      <c r="H759" s="67">
        <f t="shared" si="143"/>
        <v>4227</v>
      </c>
      <c r="I759" s="67">
        <f t="shared" si="133"/>
        <v>100</v>
      </c>
    </row>
    <row r="760" spans="1:9" s="25" customFormat="1" ht="15">
      <c r="A760" s="131" t="s">
        <v>74</v>
      </c>
      <c r="B760" s="22" t="s">
        <v>62</v>
      </c>
      <c r="C760" s="22" t="s">
        <v>83</v>
      </c>
      <c r="D760" s="22" t="s">
        <v>376</v>
      </c>
      <c r="E760" s="66" t="s">
        <v>75</v>
      </c>
      <c r="F760" s="67">
        <v>4227</v>
      </c>
      <c r="G760" s="280">
        <v>2943.99262</v>
      </c>
      <c r="H760" s="67">
        <v>4227</v>
      </c>
      <c r="I760" s="67">
        <f t="shared" si="133"/>
        <v>100</v>
      </c>
    </row>
    <row r="761" spans="1:9" s="25" customFormat="1" ht="15">
      <c r="A761" s="133" t="s">
        <v>76</v>
      </c>
      <c r="B761" s="132" t="s">
        <v>63</v>
      </c>
      <c r="C761" s="132"/>
      <c r="D761" s="132"/>
      <c r="E761" s="59"/>
      <c r="F761" s="60">
        <f t="shared" ref="F761:H762" si="144">F762</f>
        <v>173</v>
      </c>
      <c r="G761" s="282">
        <f t="shared" si="144"/>
        <v>137.11985999999999</v>
      </c>
      <c r="H761" s="60">
        <f t="shared" si="144"/>
        <v>173</v>
      </c>
      <c r="I761" s="60">
        <f t="shared" si="133"/>
        <v>100</v>
      </c>
    </row>
    <row r="762" spans="1:9" s="25" customFormat="1" ht="15">
      <c r="A762" s="133" t="s">
        <v>353</v>
      </c>
      <c r="B762" s="132" t="s">
        <v>63</v>
      </c>
      <c r="C762" s="132" t="s">
        <v>83</v>
      </c>
      <c r="D762" s="132"/>
      <c r="E762" s="59"/>
      <c r="F762" s="60">
        <f t="shared" si="144"/>
        <v>173</v>
      </c>
      <c r="G762" s="282">
        <f t="shared" si="144"/>
        <v>137.11985999999999</v>
      </c>
      <c r="H762" s="60">
        <f t="shared" si="144"/>
        <v>173</v>
      </c>
      <c r="I762" s="60">
        <f t="shared" si="133"/>
        <v>100</v>
      </c>
    </row>
    <row r="763" spans="1:9" s="25" customFormat="1" ht="15">
      <c r="A763" s="133" t="s">
        <v>697</v>
      </c>
      <c r="B763" s="132" t="s">
        <v>63</v>
      </c>
      <c r="C763" s="132" t="s">
        <v>83</v>
      </c>
      <c r="D763" s="132" t="s">
        <v>376</v>
      </c>
      <c r="E763" s="59"/>
      <c r="F763" s="60">
        <f>F764+F766</f>
        <v>173</v>
      </c>
      <c r="G763" s="282">
        <f>G764+G766</f>
        <v>137.11985999999999</v>
      </c>
      <c r="H763" s="60">
        <f>H764+H766</f>
        <v>173</v>
      </c>
      <c r="I763" s="60">
        <f t="shared" si="133"/>
        <v>100</v>
      </c>
    </row>
    <row r="764" spans="1:9" s="25" customFormat="1" ht="24">
      <c r="A764" s="65" t="s">
        <v>486</v>
      </c>
      <c r="B764" s="66" t="s">
        <v>63</v>
      </c>
      <c r="C764" s="66" t="s">
        <v>83</v>
      </c>
      <c r="D764" s="66" t="s">
        <v>376</v>
      </c>
      <c r="E764" s="66" t="s">
        <v>77</v>
      </c>
      <c r="F764" s="67">
        <f>F765</f>
        <v>163</v>
      </c>
      <c r="G764" s="280">
        <f>G765</f>
        <v>137.11985999999999</v>
      </c>
      <c r="H764" s="67">
        <f>H765</f>
        <v>163</v>
      </c>
      <c r="I764" s="67">
        <f t="shared" si="133"/>
        <v>100</v>
      </c>
    </row>
    <row r="765" spans="1:9" s="25" customFormat="1" ht="24">
      <c r="A765" s="65" t="s">
        <v>78</v>
      </c>
      <c r="B765" s="66" t="s">
        <v>63</v>
      </c>
      <c r="C765" s="66" t="s">
        <v>83</v>
      </c>
      <c r="D765" s="66" t="s">
        <v>376</v>
      </c>
      <c r="E765" s="66" t="s">
        <v>79</v>
      </c>
      <c r="F765" s="67">
        <v>163</v>
      </c>
      <c r="G765" s="280">
        <v>137.11985999999999</v>
      </c>
      <c r="H765" s="67">
        <v>163</v>
      </c>
      <c r="I765" s="67">
        <f t="shared" si="133"/>
        <v>100</v>
      </c>
    </row>
    <row r="766" spans="1:9" s="25" customFormat="1" ht="15">
      <c r="A766" s="65" t="s">
        <v>80</v>
      </c>
      <c r="B766" s="66" t="s">
        <v>63</v>
      </c>
      <c r="C766" s="66" t="s">
        <v>83</v>
      </c>
      <c r="D766" s="66" t="s">
        <v>376</v>
      </c>
      <c r="E766" s="66" t="s">
        <v>81</v>
      </c>
      <c r="F766" s="67">
        <f>F767</f>
        <v>10</v>
      </c>
      <c r="G766" s="272">
        <f>G767</f>
        <v>0</v>
      </c>
      <c r="H766" s="67">
        <f>H767</f>
        <v>10</v>
      </c>
      <c r="I766" s="67">
        <f t="shared" si="133"/>
        <v>100</v>
      </c>
    </row>
    <row r="767" spans="1:9" s="25" customFormat="1" ht="15">
      <c r="A767" s="65" t="s">
        <v>445</v>
      </c>
      <c r="B767" s="66" t="s">
        <v>63</v>
      </c>
      <c r="C767" s="66" t="s">
        <v>83</v>
      </c>
      <c r="D767" s="66" t="s">
        <v>376</v>
      </c>
      <c r="E767" s="66" t="s">
        <v>82</v>
      </c>
      <c r="F767" s="67">
        <v>10</v>
      </c>
      <c r="G767" s="272">
        <v>0</v>
      </c>
      <c r="H767" s="67">
        <v>10</v>
      </c>
      <c r="I767" s="67">
        <f t="shared" ref="I767:I830" si="145">H767/F767*100</f>
        <v>100</v>
      </c>
    </row>
    <row r="768" spans="1:9" s="25" customFormat="1" ht="27">
      <c r="A768" s="142" t="s">
        <v>478</v>
      </c>
      <c r="B768" s="137" t="s">
        <v>93</v>
      </c>
      <c r="C768" s="137"/>
      <c r="D768" s="137"/>
      <c r="E768" s="137"/>
      <c r="F768" s="136">
        <f t="shared" ref="F768:H773" si="146">F769</f>
        <v>800</v>
      </c>
      <c r="G768" s="283">
        <f t="shared" si="146"/>
        <v>381.4</v>
      </c>
      <c r="H768" s="136">
        <f t="shared" si="146"/>
        <v>800</v>
      </c>
      <c r="I768" s="136">
        <f t="shared" si="145"/>
        <v>100</v>
      </c>
    </row>
    <row r="769" spans="1:9" s="25" customFormat="1" ht="24">
      <c r="A769" s="97" t="s">
        <v>438</v>
      </c>
      <c r="B769" s="59" t="s">
        <v>439</v>
      </c>
      <c r="C769" s="59"/>
      <c r="D769" s="59"/>
      <c r="E769" s="59"/>
      <c r="F769" s="60">
        <f t="shared" si="146"/>
        <v>800</v>
      </c>
      <c r="G769" s="282">
        <f t="shared" si="146"/>
        <v>381.4</v>
      </c>
      <c r="H769" s="60">
        <f t="shared" si="146"/>
        <v>800</v>
      </c>
      <c r="I769" s="60">
        <f t="shared" si="145"/>
        <v>100</v>
      </c>
    </row>
    <row r="770" spans="1:9" s="25" customFormat="1" ht="15">
      <c r="A770" s="84" t="s">
        <v>566</v>
      </c>
      <c r="B770" s="71" t="s">
        <v>567</v>
      </c>
      <c r="C770" s="71"/>
      <c r="D770" s="71"/>
      <c r="E770" s="71"/>
      <c r="F770" s="60">
        <f t="shared" si="146"/>
        <v>800</v>
      </c>
      <c r="G770" s="282">
        <f t="shared" si="146"/>
        <v>381.4</v>
      </c>
      <c r="H770" s="60">
        <f t="shared" si="146"/>
        <v>800</v>
      </c>
      <c r="I770" s="60">
        <f t="shared" si="145"/>
        <v>100</v>
      </c>
    </row>
    <row r="771" spans="1:9" s="25" customFormat="1" ht="15">
      <c r="A771" s="84" t="s">
        <v>103</v>
      </c>
      <c r="B771" s="59" t="s">
        <v>567</v>
      </c>
      <c r="C771" s="59" t="s">
        <v>69</v>
      </c>
      <c r="D771" s="59"/>
      <c r="E771" s="71"/>
      <c r="F771" s="60">
        <f t="shared" si="146"/>
        <v>800</v>
      </c>
      <c r="G771" s="282">
        <f t="shared" si="146"/>
        <v>381.4</v>
      </c>
      <c r="H771" s="60">
        <f t="shared" si="146"/>
        <v>800</v>
      </c>
      <c r="I771" s="60">
        <f t="shared" si="145"/>
        <v>100</v>
      </c>
    </row>
    <row r="772" spans="1:9" s="25" customFormat="1" ht="15">
      <c r="A772" s="97" t="s">
        <v>285</v>
      </c>
      <c r="B772" s="59" t="s">
        <v>567</v>
      </c>
      <c r="C772" s="59" t="s">
        <v>69</v>
      </c>
      <c r="D772" s="59" t="s">
        <v>86</v>
      </c>
      <c r="E772" s="71"/>
      <c r="F772" s="60">
        <f t="shared" si="146"/>
        <v>800</v>
      </c>
      <c r="G772" s="282">
        <f t="shared" si="146"/>
        <v>381.4</v>
      </c>
      <c r="H772" s="60">
        <f t="shared" si="146"/>
        <v>800</v>
      </c>
      <c r="I772" s="60">
        <f t="shared" si="145"/>
        <v>100</v>
      </c>
    </row>
    <row r="773" spans="1:9" s="25" customFormat="1" ht="36">
      <c r="A773" s="65" t="s">
        <v>72</v>
      </c>
      <c r="B773" s="66" t="s">
        <v>567</v>
      </c>
      <c r="C773" s="66" t="s">
        <v>69</v>
      </c>
      <c r="D773" s="66" t="s">
        <v>86</v>
      </c>
      <c r="E773" s="66" t="s">
        <v>73</v>
      </c>
      <c r="F773" s="67">
        <f t="shared" si="146"/>
        <v>800</v>
      </c>
      <c r="G773" s="280">
        <f t="shared" si="146"/>
        <v>381.4</v>
      </c>
      <c r="H773" s="67">
        <f t="shared" si="146"/>
        <v>800</v>
      </c>
      <c r="I773" s="67">
        <f t="shared" si="145"/>
        <v>100</v>
      </c>
    </row>
    <row r="774" spans="1:9" s="25" customFormat="1" ht="15">
      <c r="A774" s="65" t="s">
        <v>74</v>
      </c>
      <c r="B774" s="66" t="s">
        <v>567</v>
      </c>
      <c r="C774" s="66" t="s">
        <v>69</v>
      </c>
      <c r="D774" s="66" t="s">
        <v>86</v>
      </c>
      <c r="E774" s="66" t="s">
        <v>75</v>
      </c>
      <c r="F774" s="67">
        <v>800</v>
      </c>
      <c r="G774" s="280">
        <v>381.4</v>
      </c>
      <c r="H774" s="67">
        <v>800</v>
      </c>
      <c r="I774" s="67">
        <f t="shared" si="145"/>
        <v>100</v>
      </c>
    </row>
    <row r="775" spans="1:9" s="25" customFormat="1" ht="40.5">
      <c r="A775" s="138" t="s">
        <v>494</v>
      </c>
      <c r="B775" s="172" t="s">
        <v>435</v>
      </c>
      <c r="C775" s="137"/>
      <c r="D775" s="137"/>
      <c r="E775" s="137"/>
      <c r="F775" s="143">
        <f>F776+F781</f>
        <v>91852.525259999995</v>
      </c>
      <c r="G775" s="276">
        <f>G776+G781</f>
        <v>77981.58600000001</v>
      </c>
      <c r="H775" s="143">
        <f>H776+H781</f>
        <v>91852.525259999995</v>
      </c>
      <c r="I775" s="136">
        <f t="shared" si="145"/>
        <v>100</v>
      </c>
    </row>
    <row r="776" spans="1:9" s="25" customFormat="1" ht="15">
      <c r="A776" s="58" t="s">
        <v>514</v>
      </c>
      <c r="B776" s="86" t="s">
        <v>515</v>
      </c>
      <c r="C776" s="59"/>
      <c r="D776" s="59"/>
      <c r="E776" s="59"/>
      <c r="F776" s="78">
        <f t="shared" ref="F776:H779" si="147">F777</f>
        <v>83852.525259999995</v>
      </c>
      <c r="G776" s="273">
        <f t="shared" si="147"/>
        <v>71189.690830000007</v>
      </c>
      <c r="H776" s="78">
        <f t="shared" si="147"/>
        <v>83852.525259999995</v>
      </c>
      <c r="I776" s="60">
        <f t="shared" si="145"/>
        <v>100</v>
      </c>
    </row>
    <row r="777" spans="1:9" s="25" customFormat="1" ht="15">
      <c r="A777" s="58" t="s">
        <v>333</v>
      </c>
      <c r="B777" s="86" t="s">
        <v>515</v>
      </c>
      <c r="C777" s="59" t="s">
        <v>376</v>
      </c>
      <c r="D777" s="59"/>
      <c r="E777" s="59"/>
      <c r="F777" s="78">
        <f t="shared" si="147"/>
        <v>83852.525259999995</v>
      </c>
      <c r="G777" s="273">
        <f t="shared" si="147"/>
        <v>71189.690830000007</v>
      </c>
      <c r="H777" s="78">
        <f t="shared" si="147"/>
        <v>83852.525259999995</v>
      </c>
      <c r="I777" s="60">
        <f t="shared" si="145"/>
        <v>100</v>
      </c>
    </row>
    <row r="778" spans="1:9" s="25" customFormat="1" ht="15">
      <c r="A778" s="58" t="s">
        <v>336</v>
      </c>
      <c r="B778" s="86" t="s">
        <v>515</v>
      </c>
      <c r="C778" s="59" t="s">
        <v>376</v>
      </c>
      <c r="D778" s="59" t="s">
        <v>423</v>
      </c>
      <c r="E778" s="59"/>
      <c r="F778" s="78">
        <f t="shared" si="147"/>
        <v>83852.525259999995</v>
      </c>
      <c r="G778" s="273">
        <f t="shared" si="147"/>
        <v>71189.690830000007</v>
      </c>
      <c r="H778" s="78">
        <f t="shared" si="147"/>
        <v>83852.525259999995</v>
      </c>
      <c r="I778" s="60">
        <f t="shared" si="145"/>
        <v>100</v>
      </c>
    </row>
    <row r="779" spans="1:9" s="25" customFormat="1" ht="24">
      <c r="A779" s="65" t="s">
        <v>486</v>
      </c>
      <c r="B779" s="76" t="s">
        <v>515</v>
      </c>
      <c r="C779" s="66" t="s">
        <v>376</v>
      </c>
      <c r="D779" s="66" t="s">
        <v>423</v>
      </c>
      <c r="E779" s="66" t="s">
        <v>77</v>
      </c>
      <c r="F779" s="79">
        <f t="shared" si="147"/>
        <v>83852.525259999995</v>
      </c>
      <c r="G779" s="272">
        <f t="shared" si="147"/>
        <v>71189.690830000007</v>
      </c>
      <c r="H779" s="79">
        <f t="shared" si="147"/>
        <v>83852.525259999995</v>
      </c>
      <c r="I779" s="67">
        <f t="shared" si="145"/>
        <v>100</v>
      </c>
    </row>
    <row r="780" spans="1:9" s="25" customFormat="1" ht="24">
      <c r="A780" s="65" t="s">
        <v>78</v>
      </c>
      <c r="B780" s="76" t="s">
        <v>515</v>
      </c>
      <c r="C780" s="66" t="s">
        <v>376</v>
      </c>
      <c r="D780" s="66" t="s">
        <v>423</v>
      </c>
      <c r="E780" s="66" t="s">
        <v>79</v>
      </c>
      <c r="F780" s="79">
        <f>83852.52526</f>
        <v>83852.525259999995</v>
      </c>
      <c r="G780" s="272">
        <v>71189.690830000007</v>
      </c>
      <c r="H780" s="79">
        <f>83852.52526</f>
        <v>83852.525259999995</v>
      </c>
      <c r="I780" s="67">
        <f t="shared" si="145"/>
        <v>100</v>
      </c>
    </row>
    <row r="781" spans="1:9" s="25" customFormat="1" ht="24">
      <c r="A781" s="58" t="s">
        <v>43</v>
      </c>
      <c r="B781" s="86" t="s">
        <v>489</v>
      </c>
      <c r="C781" s="59"/>
      <c r="D781" s="59"/>
      <c r="E781" s="59"/>
      <c r="F781" s="78">
        <f t="shared" ref="F781:H784" si="148">F782</f>
        <v>8000</v>
      </c>
      <c r="G781" s="273">
        <f t="shared" si="148"/>
        <v>6791.8951699999998</v>
      </c>
      <c r="H781" s="78">
        <f t="shared" si="148"/>
        <v>8000</v>
      </c>
      <c r="I781" s="60">
        <f t="shared" si="145"/>
        <v>100</v>
      </c>
    </row>
    <row r="782" spans="1:9" s="25" customFormat="1" ht="15">
      <c r="A782" s="58" t="s">
        <v>333</v>
      </c>
      <c r="B782" s="86" t="s">
        <v>489</v>
      </c>
      <c r="C782" s="59" t="s">
        <v>376</v>
      </c>
      <c r="D782" s="59"/>
      <c r="E782" s="59"/>
      <c r="F782" s="78">
        <f t="shared" si="148"/>
        <v>8000</v>
      </c>
      <c r="G782" s="273">
        <f t="shared" si="148"/>
        <v>6791.8951699999998</v>
      </c>
      <c r="H782" s="78">
        <f t="shared" si="148"/>
        <v>8000</v>
      </c>
      <c r="I782" s="60">
        <f t="shared" si="145"/>
        <v>100</v>
      </c>
    </row>
    <row r="783" spans="1:9" s="25" customFormat="1" ht="15">
      <c r="A783" s="58" t="s">
        <v>336</v>
      </c>
      <c r="B783" s="86" t="s">
        <v>489</v>
      </c>
      <c r="C783" s="59" t="s">
        <v>376</v>
      </c>
      <c r="D783" s="59" t="s">
        <v>423</v>
      </c>
      <c r="E783" s="59"/>
      <c r="F783" s="78">
        <f t="shared" si="148"/>
        <v>8000</v>
      </c>
      <c r="G783" s="273">
        <f t="shared" si="148"/>
        <v>6791.8951699999998</v>
      </c>
      <c r="H783" s="78">
        <f t="shared" si="148"/>
        <v>8000</v>
      </c>
      <c r="I783" s="60">
        <f t="shared" si="145"/>
        <v>100</v>
      </c>
    </row>
    <row r="784" spans="1:9" s="25" customFormat="1" ht="24">
      <c r="A784" s="65" t="s">
        <v>486</v>
      </c>
      <c r="B784" s="76" t="s">
        <v>489</v>
      </c>
      <c r="C784" s="66" t="s">
        <v>376</v>
      </c>
      <c r="D784" s="66" t="s">
        <v>423</v>
      </c>
      <c r="E784" s="66" t="s">
        <v>77</v>
      </c>
      <c r="F784" s="79">
        <f t="shared" si="148"/>
        <v>8000</v>
      </c>
      <c r="G784" s="272">
        <f t="shared" si="148"/>
        <v>6791.8951699999998</v>
      </c>
      <c r="H784" s="79">
        <f t="shared" si="148"/>
        <v>8000</v>
      </c>
      <c r="I784" s="67">
        <f t="shared" si="145"/>
        <v>100</v>
      </c>
    </row>
    <row r="785" spans="1:9" s="25" customFormat="1" ht="24">
      <c r="A785" s="65" t="s">
        <v>78</v>
      </c>
      <c r="B785" s="76" t="s">
        <v>489</v>
      </c>
      <c r="C785" s="66" t="s">
        <v>376</v>
      </c>
      <c r="D785" s="66" t="s">
        <v>423</v>
      </c>
      <c r="E785" s="66" t="s">
        <v>79</v>
      </c>
      <c r="F785" s="79">
        <v>8000</v>
      </c>
      <c r="G785" s="272">
        <v>6791.8951699999998</v>
      </c>
      <c r="H785" s="79">
        <v>8000</v>
      </c>
      <c r="I785" s="67">
        <f t="shared" si="145"/>
        <v>100</v>
      </c>
    </row>
    <row r="786" spans="1:9" s="25" customFormat="1" ht="15">
      <c r="A786" s="171" t="s">
        <v>696</v>
      </c>
      <c r="B786" s="170"/>
      <c r="C786" s="170"/>
      <c r="D786" s="170"/>
      <c r="E786" s="170"/>
      <c r="F786" s="169">
        <f>F787+F792+F803+F808+F821+F834+F845+F858</f>
        <v>463157.39030999999</v>
      </c>
      <c r="G786" s="293">
        <f>G787+G792+G803+G808+G821+G834+G845+G858</f>
        <v>305968.25734000001</v>
      </c>
      <c r="H786" s="169">
        <f>H787+H792+H803+H808+H821+H834+H845+H858</f>
        <v>460557.39030999999</v>
      </c>
      <c r="I786" s="169">
        <f t="shared" si="145"/>
        <v>99.438635752252651</v>
      </c>
    </row>
    <row r="787" spans="1:9" s="25" customFormat="1" ht="15">
      <c r="A787" s="142" t="s">
        <v>695</v>
      </c>
      <c r="B787" s="168" t="s">
        <v>193</v>
      </c>
      <c r="C787" s="168"/>
      <c r="D787" s="168"/>
      <c r="E787" s="168"/>
      <c r="F787" s="155">
        <f t="shared" ref="F787:H790" si="149">F788</f>
        <v>2282</v>
      </c>
      <c r="G787" s="285">
        <f t="shared" si="149"/>
        <v>1591.2740799999999</v>
      </c>
      <c r="H787" s="155">
        <f t="shared" si="149"/>
        <v>2282</v>
      </c>
      <c r="I787" s="136">
        <f t="shared" si="145"/>
        <v>100</v>
      </c>
    </row>
    <row r="788" spans="1:9" s="25" customFormat="1" ht="15">
      <c r="A788" s="114" t="s">
        <v>30</v>
      </c>
      <c r="B788" s="59" t="s">
        <v>194</v>
      </c>
      <c r="C788" s="59"/>
      <c r="D788" s="66"/>
      <c r="E788" s="71"/>
      <c r="F788" s="60">
        <f t="shared" si="149"/>
        <v>2282</v>
      </c>
      <c r="G788" s="282">
        <f t="shared" si="149"/>
        <v>1591.2740799999999</v>
      </c>
      <c r="H788" s="60">
        <f t="shared" si="149"/>
        <v>2282</v>
      </c>
      <c r="I788" s="60">
        <f t="shared" si="145"/>
        <v>100</v>
      </c>
    </row>
    <row r="789" spans="1:9" s="25" customFormat="1" ht="15">
      <c r="A789" s="114" t="s">
        <v>103</v>
      </c>
      <c r="B789" s="115" t="s">
        <v>196</v>
      </c>
      <c r="C789" s="132" t="s">
        <v>69</v>
      </c>
      <c r="D789" s="132"/>
      <c r="E789" s="132"/>
      <c r="F789" s="60">
        <f t="shared" si="149"/>
        <v>2282</v>
      </c>
      <c r="G789" s="282">
        <f t="shared" si="149"/>
        <v>1591.2740799999999</v>
      </c>
      <c r="H789" s="60">
        <f t="shared" si="149"/>
        <v>2282</v>
      </c>
      <c r="I789" s="60">
        <f t="shared" si="145"/>
        <v>100</v>
      </c>
    </row>
    <row r="790" spans="1:9" s="25" customFormat="1" ht="36">
      <c r="A790" s="65" t="s">
        <v>72</v>
      </c>
      <c r="B790" s="66" t="s">
        <v>197</v>
      </c>
      <c r="C790" s="22" t="s">
        <v>69</v>
      </c>
      <c r="D790" s="22" t="s">
        <v>431</v>
      </c>
      <c r="E790" s="22" t="s">
        <v>73</v>
      </c>
      <c r="F790" s="67">
        <f t="shared" si="149"/>
        <v>2282</v>
      </c>
      <c r="G790" s="280">
        <f t="shared" si="149"/>
        <v>1591.2740799999999</v>
      </c>
      <c r="H790" s="67">
        <f t="shared" si="149"/>
        <v>2282</v>
      </c>
      <c r="I790" s="67">
        <f t="shared" si="145"/>
        <v>100</v>
      </c>
    </row>
    <row r="791" spans="1:9" s="25" customFormat="1" ht="15">
      <c r="A791" s="65" t="s">
        <v>74</v>
      </c>
      <c r="B791" s="66" t="s">
        <v>197</v>
      </c>
      <c r="C791" s="22" t="s">
        <v>69</v>
      </c>
      <c r="D791" s="22" t="s">
        <v>431</v>
      </c>
      <c r="E791" s="22" t="s">
        <v>75</v>
      </c>
      <c r="F791" s="67">
        <v>2282</v>
      </c>
      <c r="G791" s="280">
        <v>1591.2740799999999</v>
      </c>
      <c r="H791" s="67">
        <v>2282</v>
      </c>
      <c r="I791" s="67">
        <f t="shared" si="145"/>
        <v>100</v>
      </c>
    </row>
    <row r="792" spans="1:9" s="25" customFormat="1" ht="15">
      <c r="A792" s="142" t="s">
        <v>694</v>
      </c>
      <c r="B792" s="167" t="s">
        <v>198</v>
      </c>
      <c r="C792" s="165"/>
      <c r="D792" s="165"/>
      <c r="E792" s="165"/>
      <c r="F792" s="136">
        <f>F793+F797</f>
        <v>31106</v>
      </c>
      <c r="G792" s="283">
        <f>G793+G797</f>
        <v>21687.248090000001</v>
      </c>
      <c r="H792" s="136">
        <f>H793+H797</f>
        <v>31106</v>
      </c>
      <c r="I792" s="136">
        <f t="shared" si="145"/>
        <v>100</v>
      </c>
    </row>
    <row r="793" spans="1:9" s="25" customFormat="1" ht="15">
      <c r="A793" s="141" t="s">
        <v>30</v>
      </c>
      <c r="B793" s="115" t="s">
        <v>121</v>
      </c>
      <c r="C793" s="59"/>
      <c r="D793" s="59"/>
      <c r="E793" s="292"/>
      <c r="F793" s="60">
        <f t="shared" ref="F793:H795" si="150">F794</f>
        <v>25363</v>
      </c>
      <c r="G793" s="282">
        <f t="shared" si="150"/>
        <v>18768.086070000001</v>
      </c>
      <c r="H793" s="60">
        <f t="shared" si="150"/>
        <v>25363</v>
      </c>
      <c r="I793" s="60">
        <f t="shared" si="145"/>
        <v>100</v>
      </c>
    </row>
    <row r="794" spans="1:9" s="25" customFormat="1" ht="15">
      <c r="A794" s="135" t="s">
        <v>103</v>
      </c>
      <c r="B794" s="115" t="s">
        <v>202</v>
      </c>
      <c r="C794" s="59" t="s">
        <v>69</v>
      </c>
      <c r="D794" s="59" t="s">
        <v>423</v>
      </c>
      <c r="E794" s="292"/>
      <c r="F794" s="60">
        <f t="shared" si="150"/>
        <v>25363</v>
      </c>
      <c r="G794" s="282">
        <f t="shared" si="150"/>
        <v>18768.086070000001</v>
      </c>
      <c r="H794" s="60">
        <f t="shared" si="150"/>
        <v>25363</v>
      </c>
      <c r="I794" s="60">
        <f t="shared" si="145"/>
        <v>100</v>
      </c>
    </row>
    <row r="795" spans="1:9" s="25" customFormat="1" ht="36">
      <c r="A795" s="65" t="s">
        <v>72</v>
      </c>
      <c r="B795" s="66" t="s">
        <v>202</v>
      </c>
      <c r="C795" s="66" t="s">
        <v>69</v>
      </c>
      <c r="D795" s="66" t="s">
        <v>423</v>
      </c>
      <c r="E795" s="66" t="s">
        <v>73</v>
      </c>
      <c r="F795" s="67">
        <f t="shared" si="150"/>
        <v>25363</v>
      </c>
      <c r="G795" s="280">
        <f t="shared" si="150"/>
        <v>18768.086070000001</v>
      </c>
      <c r="H795" s="67">
        <f t="shared" si="150"/>
        <v>25363</v>
      </c>
      <c r="I795" s="67">
        <f t="shared" si="145"/>
        <v>100</v>
      </c>
    </row>
    <row r="796" spans="1:9" s="25" customFormat="1" ht="15">
      <c r="A796" s="65" t="s">
        <v>74</v>
      </c>
      <c r="B796" s="66" t="s">
        <v>202</v>
      </c>
      <c r="C796" s="66" t="s">
        <v>69</v>
      </c>
      <c r="D796" s="66" t="s">
        <v>423</v>
      </c>
      <c r="E796" s="66" t="s">
        <v>75</v>
      </c>
      <c r="F796" s="67">
        <f>16647+100+100+750+5558+2058+150</f>
        <v>25363</v>
      </c>
      <c r="G796" s="280">
        <v>18768.086070000001</v>
      </c>
      <c r="H796" s="67">
        <f>16647+100+100+750+5558+2058+150</f>
        <v>25363</v>
      </c>
      <c r="I796" s="67">
        <f t="shared" si="145"/>
        <v>100</v>
      </c>
    </row>
    <row r="797" spans="1:9" s="25" customFormat="1" ht="15">
      <c r="A797" s="58" t="s">
        <v>125</v>
      </c>
      <c r="B797" s="132" t="s">
        <v>121</v>
      </c>
      <c r="C797" s="59" t="s">
        <v>69</v>
      </c>
      <c r="D797" s="59" t="s">
        <v>423</v>
      </c>
      <c r="E797" s="66"/>
      <c r="F797" s="60">
        <f>F798</f>
        <v>5743</v>
      </c>
      <c r="G797" s="282">
        <f>G798</f>
        <v>2919.1620199999998</v>
      </c>
      <c r="H797" s="60">
        <f>H798</f>
        <v>5743</v>
      </c>
      <c r="I797" s="60">
        <f t="shared" si="145"/>
        <v>100</v>
      </c>
    </row>
    <row r="798" spans="1:9" s="25" customFormat="1" ht="15">
      <c r="A798" s="135" t="s">
        <v>103</v>
      </c>
      <c r="B798" s="59" t="s">
        <v>203</v>
      </c>
      <c r="C798" s="59"/>
      <c r="D798" s="59"/>
      <c r="E798" s="66"/>
      <c r="F798" s="60">
        <f>F799+F801</f>
        <v>5743</v>
      </c>
      <c r="G798" s="282">
        <f>G799+G801</f>
        <v>2919.1620199999998</v>
      </c>
      <c r="H798" s="60">
        <f>H799+H801</f>
        <v>5743</v>
      </c>
      <c r="I798" s="60">
        <f t="shared" si="145"/>
        <v>100</v>
      </c>
    </row>
    <row r="799" spans="1:9" s="25" customFormat="1" ht="24">
      <c r="A799" s="65" t="s">
        <v>486</v>
      </c>
      <c r="B799" s="66" t="s">
        <v>203</v>
      </c>
      <c r="C799" s="66" t="s">
        <v>69</v>
      </c>
      <c r="D799" s="66" t="s">
        <v>423</v>
      </c>
      <c r="E799" s="66" t="s">
        <v>77</v>
      </c>
      <c r="F799" s="67">
        <f>F800</f>
        <v>5723</v>
      </c>
      <c r="G799" s="280">
        <f>G800</f>
        <v>2908.4530199999999</v>
      </c>
      <c r="H799" s="67">
        <f>H800</f>
        <v>5723</v>
      </c>
      <c r="I799" s="67">
        <f t="shared" si="145"/>
        <v>100</v>
      </c>
    </row>
    <row r="800" spans="1:9" s="25" customFormat="1" ht="24">
      <c r="A800" s="65" t="s">
        <v>78</v>
      </c>
      <c r="B800" s="66" t="s">
        <v>203</v>
      </c>
      <c r="C800" s="66" t="s">
        <v>69</v>
      </c>
      <c r="D800" s="66" t="s">
        <v>423</v>
      </c>
      <c r="E800" s="66" t="s">
        <v>79</v>
      </c>
      <c r="F800" s="67">
        <f>3873+2000-100+100-150</f>
        <v>5723</v>
      </c>
      <c r="G800" s="280">
        <v>2908.4530199999999</v>
      </c>
      <c r="H800" s="67">
        <f>3873+2000-100+100-150</f>
        <v>5723</v>
      </c>
      <c r="I800" s="67">
        <f t="shared" si="145"/>
        <v>100</v>
      </c>
    </row>
    <row r="801" spans="1:9" s="25" customFormat="1" ht="15">
      <c r="A801" s="65" t="s">
        <v>80</v>
      </c>
      <c r="B801" s="66" t="s">
        <v>203</v>
      </c>
      <c r="C801" s="66" t="s">
        <v>69</v>
      </c>
      <c r="D801" s="66" t="s">
        <v>423</v>
      </c>
      <c r="E801" s="66" t="s">
        <v>81</v>
      </c>
      <c r="F801" s="67">
        <f>F802</f>
        <v>20</v>
      </c>
      <c r="G801" s="280">
        <f>G802</f>
        <v>10.709</v>
      </c>
      <c r="H801" s="67">
        <f>H802</f>
        <v>20</v>
      </c>
      <c r="I801" s="67">
        <f t="shared" si="145"/>
        <v>100</v>
      </c>
    </row>
    <row r="802" spans="1:9" s="25" customFormat="1" ht="15">
      <c r="A802" s="65" t="s">
        <v>445</v>
      </c>
      <c r="B802" s="66" t="s">
        <v>203</v>
      </c>
      <c r="C802" s="66" t="s">
        <v>69</v>
      </c>
      <c r="D802" s="66" t="s">
        <v>423</v>
      </c>
      <c r="E802" s="66" t="s">
        <v>82</v>
      </c>
      <c r="F802" s="67">
        <f>520-500</f>
        <v>20</v>
      </c>
      <c r="G802" s="280">
        <v>10.709</v>
      </c>
      <c r="H802" s="67">
        <v>20</v>
      </c>
      <c r="I802" s="67">
        <f t="shared" si="145"/>
        <v>100</v>
      </c>
    </row>
    <row r="803" spans="1:9" s="25" customFormat="1" ht="27">
      <c r="A803" s="142" t="s">
        <v>693</v>
      </c>
      <c r="B803" s="137" t="s">
        <v>184</v>
      </c>
      <c r="C803" s="137"/>
      <c r="D803" s="137"/>
      <c r="E803" s="137"/>
      <c r="F803" s="136">
        <f t="shared" ref="F803:H806" si="151">F804</f>
        <v>1850</v>
      </c>
      <c r="G803" s="283">
        <f t="shared" si="151"/>
        <v>1548.6597099999999</v>
      </c>
      <c r="H803" s="136">
        <f t="shared" si="151"/>
        <v>1850</v>
      </c>
      <c r="I803" s="136">
        <f t="shared" si="145"/>
        <v>100</v>
      </c>
    </row>
    <row r="804" spans="1:9" s="25" customFormat="1" ht="24">
      <c r="A804" s="73" t="s">
        <v>271</v>
      </c>
      <c r="B804" s="59" t="s">
        <v>186</v>
      </c>
      <c r="C804" s="59"/>
      <c r="D804" s="59"/>
      <c r="E804" s="59"/>
      <c r="F804" s="60">
        <f t="shared" si="151"/>
        <v>1850</v>
      </c>
      <c r="G804" s="282">
        <f t="shared" si="151"/>
        <v>1548.6597099999999</v>
      </c>
      <c r="H804" s="60">
        <f t="shared" si="151"/>
        <v>1850</v>
      </c>
      <c r="I804" s="60">
        <f t="shared" si="145"/>
        <v>100</v>
      </c>
    </row>
    <row r="805" spans="1:9" s="25" customFormat="1" ht="15">
      <c r="A805" s="135" t="s">
        <v>103</v>
      </c>
      <c r="B805" s="59" t="s">
        <v>186</v>
      </c>
      <c r="C805" s="71" t="s">
        <v>69</v>
      </c>
      <c r="D805" s="71"/>
      <c r="E805" s="59"/>
      <c r="F805" s="60">
        <f t="shared" si="151"/>
        <v>1850</v>
      </c>
      <c r="G805" s="282">
        <f t="shared" si="151"/>
        <v>1548.6597099999999</v>
      </c>
      <c r="H805" s="60">
        <f t="shared" si="151"/>
        <v>1850</v>
      </c>
      <c r="I805" s="60">
        <f t="shared" si="145"/>
        <v>100</v>
      </c>
    </row>
    <row r="806" spans="1:9" s="25" customFormat="1" ht="36">
      <c r="A806" s="65" t="s">
        <v>72</v>
      </c>
      <c r="B806" s="66" t="s">
        <v>186</v>
      </c>
      <c r="C806" s="66" t="s">
        <v>69</v>
      </c>
      <c r="D806" s="66" t="s">
        <v>71</v>
      </c>
      <c r="E806" s="66" t="s">
        <v>73</v>
      </c>
      <c r="F806" s="67">
        <f t="shared" si="151"/>
        <v>1850</v>
      </c>
      <c r="G806" s="280">
        <f t="shared" si="151"/>
        <v>1548.6597099999999</v>
      </c>
      <c r="H806" s="67">
        <f t="shared" si="151"/>
        <v>1850</v>
      </c>
      <c r="I806" s="67">
        <f t="shared" si="145"/>
        <v>100</v>
      </c>
    </row>
    <row r="807" spans="1:9" s="25" customFormat="1" ht="15">
      <c r="A807" s="65" t="s">
        <v>74</v>
      </c>
      <c r="B807" s="66" t="s">
        <v>186</v>
      </c>
      <c r="C807" s="66" t="s">
        <v>69</v>
      </c>
      <c r="D807" s="66" t="s">
        <v>71</v>
      </c>
      <c r="E807" s="66" t="s">
        <v>75</v>
      </c>
      <c r="F807" s="67">
        <v>1850</v>
      </c>
      <c r="G807" s="280">
        <v>1548.6597099999999</v>
      </c>
      <c r="H807" s="67">
        <v>1850</v>
      </c>
      <c r="I807" s="67">
        <f t="shared" si="145"/>
        <v>100</v>
      </c>
    </row>
    <row r="808" spans="1:9" s="25" customFormat="1" ht="27">
      <c r="A808" s="163" t="s">
        <v>692</v>
      </c>
      <c r="B808" s="137" t="s">
        <v>205</v>
      </c>
      <c r="C808" s="166"/>
      <c r="D808" s="166"/>
      <c r="E808" s="165"/>
      <c r="F808" s="136">
        <f>F809+F814</f>
        <v>15155</v>
      </c>
      <c r="G808" s="283">
        <f>G809+G814</f>
        <v>11698.144909999999</v>
      </c>
      <c r="H808" s="136">
        <f>H809+H814</f>
        <v>15155</v>
      </c>
      <c r="I808" s="136">
        <f t="shared" si="145"/>
        <v>100</v>
      </c>
    </row>
    <row r="809" spans="1:9" s="25" customFormat="1" ht="24">
      <c r="A809" s="73" t="s">
        <v>37</v>
      </c>
      <c r="B809" s="59" t="s">
        <v>207</v>
      </c>
      <c r="C809" s="59"/>
      <c r="D809" s="59"/>
      <c r="E809" s="59"/>
      <c r="F809" s="60">
        <f>F812</f>
        <v>13090</v>
      </c>
      <c r="G809" s="282">
        <f>G812</f>
        <v>10389.383379999999</v>
      </c>
      <c r="H809" s="60">
        <f>H812</f>
        <v>13090</v>
      </c>
      <c r="I809" s="60">
        <f t="shared" si="145"/>
        <v>100</v>
      </c>
    </row>
    <row r="810" spans="1:9" s="25" customFormat="1" ht="15">
      <c r="A810" s="135" t="s">
        <v>103</v>
      </c>
      <c r="B810" s="59" t="s">
        <v>207</v>
      </c>
      <c r="C810" s="59" t="s">
        <v>69</v>
      </c>
      <c r="D810" s="59"/>
      <c r="E810" s="59"/>
      <c r="F810" s="60">
        <f t="shared" ref="F810:H812" si="152">F811</f>
        <v>13090</v>
      </c>
      <c r="G810" s="282">
        <f t="shared" si="152"/>
        <v>10389.383379999999</v>
      </c>
      <c r="H810" s="60">
        <f t="shared" si="152"/>
        <v>13090</v>
      </c>
      <c r="I810" s="60">
        <f t="shared" si="145"/>
        <v>100</v>
      </c>
    </row>
    <row r="811" spans="1:9" s="25" customFormat="1" ht="36">
      <c r="A811" s="129" t="s">
        <v>691</v>
      </c>
      <c r="B811" s="59" t="s">
        <v>207</v>
      </c>
      <c r="C811" s="59" t="s">
        <v>69</v>
      </c>
      <c r="D811" s="59" t="s">
        <v>270</v>
      </c>
      <c r="E811" s="59"/>
      <c r="F811" s="60">
        <f t="shared" si="152"/>
        <v>13090</v>
      </c>
      <c r="G811" s="282">
        <f t="shared" si="152"/>
        <v>10389.383379999999</v>
      </c>
      <c r="H811" s="60">
        <f t="shared" si="152"/>
        <v>13090</v>
      </c>
      <c r="I811" s="60">
        <f t="shared" si="145"/>
        <v>100</v>
      </c>
    </row>
    <row r="812" spans="1:9" s="25" customFormat="1" ht="36">
      <c r="A812" s="65" t="s">
        <v>72</v>
      </c>
      <c r="B812" s="66" t="s">
        <v>207</v>
      </c>
      <c r="C812" s="66" t="s">
        <v>69</v>
      </c>
      <c r="D812" s="66" t="s">
        <v>270</v>
      </c>
      <c r="E812" s="66" t="s">
        <v>73</v>
      </c>
      <c r="F812" s="67">
        <f t="shared" si="152"/>
        <v>13090</v>
      </c>
      <c r="G812" s="280">
        <f t="shared" si="152"/>
        <v>10389.383379999999</v>
      </c>
      <c r="H812" s="67">
        <f t="shared" si="152"/>
        <v>13090</v>
      </c>
      <c r="I812" s="60">
        <f t="shared" si="145"/>
        <v>100</v>
      </c>
    </row>
    <row r="813" spans="1:9" s="25" customFormat="1" ht="15">
      <c r="A813" s="65" t="s">
        <v>74</v>
      </c>
      <c r="B813" s="66" t="s">
        <v>207</v>
      </c>
      <c r="C813" s="66" t="s">
        <v>69</v>
      </c>
      <c r="D813" s="66" t="s">
        <v>270</v>
      </c>
      <c r="E813" s="66" t="s">
        <v>75</v>
      </c>
      <c r="F813" s="67">
        <f>10000+40+50+3000</f>
        <v>13090</v>
      </c>
      <c r="G813" s="280">
        <v>10389.383379999999</v>
      </c>
      <c r="H813" s="67">
        <f>10000+40+50+3000</f>
        <v>13090</v>
      </c>
      <c r="I813" s="60">
        <f t="shared" si="145"/>
        <v>100</v>
      </c>
    </row>
    <row r="814" spans="1:9" s="25" customFormat="1" ht="24">
      <c r="A814" s="58" t="s">
        <v>38</v>
      </c>
      <c r="B814" s="59" t="s">
        <v>208</v>
      </c>
      <c r="C814" s="59"/>
      <c r="D814" s="59"/>
      <c r="E814" s="59"/>
      <c r="F814" s="60">
        <f t="shared" ref="F814:H815" si="153">F815</f>
        <v>2065</v>
      </c>
      <c r="G814" s="282">
        <f t="shared" si="153"/>
        <v>1308.76153</v>
      </c>
      <c r="H814" s="60">
        <f t="shared" si="153"/>
        <v>2065</v>
      </c>
      <c r="I814" s="60">
        <f t="shared" si="145"/>
        <v>100</v>
      </c>
    </row>
    <row r="815" spans="1:9" s="25" customFormat="1" ht="15">
      <c r="A815" s="135" t="s">
        <v>103</v>
      </c>
      <c r="B815" s="59" t="s">
        <v>208</v>
      </c>
      <c r="C815" s="59" t="s">
        <v>69</v>
      </c>
      <c r="D815" s="59"/>
      <c r="E815" s="59"/>
      <c r="F815" s="60">
        <f t="shared" si="153"/>
        <v>2065</v>
      </c>
      <c r="G815" s="282">
        <f t="shared" si="153"/>
        <v>1308.76153</v>
      </c>
      <c r="H815" s="60">
        <f t="shared" si="153"/>
        <v>2065</v>
      </c>
      <c r="I815" s="60">
        <f t="shared" si="145"/>
        <v>100</v>
      </c>
    </row>
    <row r="816" spans="1:9" s="25" customFormat="1" ht="36">
      <c r="A816" s="129" t="s">
        <v>691</v>
      </c>
      <c r="B816" s="59" t="s">
        <v>208</v>
      </c>
      <c r="C816" s="59" t="s">
        <v>69</v>
      </c>
      <c r="D816" s="59" t="s">
        <v>270</v>
      </c>
      <c r="E816" s="59"/>
      <c r="F816" s="60">
        <f>F817+F819</f>
        <v>2065</v>
      </c>
      <c r="G816" s="282">
        <f>G817+G819</f>
        <v>1308.76153</v>
      </c>
      <c r="H816" s="60">
        <f>H817+H819</f>
        <v>2065</v>
      </c>
      <c r="I816" s="60">
        <f t="shared" si="145"/>
        <v>100</v>
      </c>
    </row>
    <row r="817" spans="1:9" s="25" customFormat="1" ht="24">
      <c r="A817" s="65" t="s">
        <v>486</v>
      </c>
      <c r="B817" s="66" t="s">
        <v>208</v>
      </c>
      <c r="C817" s="66" t="s">
        <v>69</v>
      </c>
      <c r="D817" s="66" t="s">
        <v>270</v>
      </c>
      <c r="E817" s="66" t="s">
        <v>77</v>
      </c>
      <c r="F817" s="67">
        <f>F818</f>
        <v>2027</v>
      </c>
      <c r="G817" s="280">
        <f>G818</f>
        <v>1277.9385299999999</v>
      </c>
      <c r="H817" s="67">
        <f>H818</f>
        <v>2027</v>
      </c>
      <c r="I817" s="67">
        <f t="shared" si="145"/>
        <v>100</v>
      </c>
    </row>
    <row r="818" spans="1:9" s="25" customFormat="1" ht="24">
      <c r="A818" s="65" t="s">
        <v>78</v>
      </c>
      <c r="B818" s="66" t="s">
        <v>208</v>
      </c>
      <c r="C818" s="66" t="s">
        <v>69</v>
      </c>
      <c r="D818" s="66" t="s">
        <v>270</v>
      </c>
      <c r="E818" s="66" t="s">
        <v>79</v>
      </c>
      <c r="F818" s="67">
        <f>2032-5</f>
        <v>2027</v>
      </c>
      <c r="G818" s="280">
        <v>1277.9385299999999</v>
      </c>
      <c r="H818" s="67">
        <v>2027</v>
      </c>
      <c r="I818" s="67">
        <f t="shared" si="145"/>
        <v>100</v>
      </c>
    </row>
    <row r="819" spans="1:9" s="25" customFormat="1" ht="15">
      <c r="A819" s="65" t="s">
        <v>80</v>
      </c>
      <c r="B819" s="66" t="s">
        <v>208</v>
      </c>
      <c r="C819" s="66" t="s">
        <v>69</v>
      </c>
      <c r="D819" s="66" t="s">
        <v>270</v>
      </c>
      <c r="E819" s="66" t="s">
        <v>81</v>
      </c>
      <c r="F819" s="67">
        <f>F820</f>
        <v>38</v>
      </c>
      <c r="G819" s="280">
        <f>G820</f>
        <v>30.823</v>
      </c>
      <c r="H819" s="67">
        <f>H820</f>
        <v>38</v>
      </c>
      <c r="I819" s="67">
        <f t="shared" si="145"/>
        <v>100</v>
      </c>
    </row>
    <row r="820" spans="1:9" s="25" customFormat="1" ht="15">
      <c r="A820" s="65" t="s">
        <v>445</v>
      </c>
      <c r="B820" s="66" t="s">
        <v>208</v>
      </c>
      <c r="C820" s="66" t="s">
        <v>69</v>
      </c>
      <c r="D820" s="66" t="s">
        <v>270</v>
      </c>
      <c r="E820" s="66" t="s">
        <v>82</v>
      </c>
      <c r="F820" s="67">
        <v>38</v>
      </c>
      <c r="G820" s="280">
        <v>30.823</v>
      </c>
      <c r="H820" s="67">
        <v>38</v>
      </c>
      <c r="I820" s="67">
        <f t="shared" si="145"/>
        <v>100</v>
      </c>
    </row>
    <row r="821" spans="1:9" s="25" customFormat="1" ht="27">
      <c r="A821" s="163" t="s">
        <v>690</v>
      </c>
      <c r="B821" s="137" t="s">
        <v>187</v>
      </c>
      <c r="C821" s="165"/>
      <c r="D821" s="165"/>
      <c r="E821" s="165"/>
      <c r="F821" s="136">
        <f t="shared" ref="F821:H822" si="154">F822</f>
        <v>16675</v>
      </c>
      <c r="G821" s="136">
        <f t="shared" si="154"/>
        <v>12562.394039999999</v>
      </c>
      <c r="H821" s="136">
        <f t="shared" si="154"/>
        <v>16675</v>
      </c>
      <c r="I821" s="136">
        <f t="shared" si="145"/>
        <v>100</v>
      </c>
    </row>
    <row r="822" spans="1:9" s="25" customFormat="1" ht="24">
      <c r="A822" s="141" t="s">
        <v>689</v>
      </c>
      <c r="B822" s="132" t="s">
        <v>188</v>
      </c>
      <c r="C822" s="132"/>
      <c r="D822" s="132"/>
      <c r="E822" s="132"/>
      <c r="F822" s="60">
        <f t="shared" si="154"/>
        <v>16675</v>
      </c>
      <c r="G822" s="60">
        <f t="shared" si="154"/>
        <v>12562.394039999999</v>
      </c>
      <c r="H822" s="60">
        <f t="shared" si="154"/>
        <v>16675</v>
      </c>
      <c r="I822" s="60">
        <f t="shared" si="145"/>
        <v>100</v>
      </c>
    </row>
    <row r="823" spans="1:9" s="25" customFormat="1" ht="15">
      <c r="A823" s="135" t="s">
        <v>103</v>
      </c>
      <c r="B823" s="132" t="s">
        <v>188</v>
      </c>
      <c r="C823" s="132" t="s">
        <v>69</v>
      </c>
      <c r="D823" s="132"/>
      <c r="E823" s="132"/>
      <c r="F823" s="60">
        <f>F824+F827</f>
        <v>16675</v>
      </c>
      <c r="G823" s="60">
        <f>G824+G827</f>
        <v>12562.394039999999</v>
      </c>
      <c r="H823" s="60">
        <f>H824+H827</f>
        <v>16675</v>
      </c>
      <c r="I823" s="60">
        <f t="shared" si="145"/>
        <v>100</v>
      </c>
    </row>
    <row r="824" spans="1:9" s="25" customFormat="1" ht="24">
      <c r="A824" s="135" t="s">
        <v>282</v>
      </c>
      <c r="B824" s="132" t="s">
        <v>189</v>
      </c>
      <c r="C824" s="132" t="s">
        <v>69</v>
      </c>
      <c r="D824" s="132" t="s">
        <v>270</v>
      </c>
      <c r="E824" s="132"/>
      <c r="F824" s="60">
        <f t="shared" ref="F824:H825" si="155">F825</f>
        <v>13693</v>
      </c>
      <c r="G824" s="60">
        <f t="shared" si="155"/>
        <v>10249.06114</v>
      </c>
      <c r="H824" s="60">
        <f t="shared" si="155"/>
        <v>13693</v>
      </c>
      <c r="I824" s="60">
        <f t="shared" si="145"/>
        <v>100</v>
      </c>
    </row>
    <row r="825" spans="1:9" s="25" customFormat="1" ht="36">
      <c r="A825" s="139" t="s">
        <v>72</v>
      </c>
      <c r="B825" s="22" t="s">
        <v>189</v>
      </c>
      <c r="C825" s="22" t="s">
        <v>69</v>
      </c>
      <c r="D825" s="22" t="s">
        <v>270</v>
      </c>
      <c r="E825" s="22" t="s">
        <v>73</v>
      </c>
      <c r="F825" s="67">
        <f t="shared" si="155"/>
        <v>13693</v>
      </c>
      <c r="G825" s="67">
        <f t="shared" si="155"/>
        <v>10249.06114</v>
      </c>
      <c r="H825" s="67">
        <f t="shared" si="155"/>
        <v>13693</v>
      </c>
      <c r="I825" s="67">
        <f t="shared" si="145"/>
        <v>100</v>
      </c>
    </row>
    <row r="826" spans="1:9" s="25" customFormat="1" ht="15">
      <c r="A826" s="139" t="s">
        <v>74</v>
      </c>
      <c r="B826" s="22" t="s">
        <v>189</v>
      </c>
      <c r="C826" s="22" t="s">
        <v>69</v>
      </c>
      <c r="D826" s="22" t="s">
        <v>270</v>
      </c>
      <c r="E826" s="22" t="s">
        <v>75</v>
      </c>
      <c r="F826" s="67">
        <v>13693</v>
      </c>
      <c r="G826" s="280">
        <v>10249.06114</v>
      </c>
      <c r="H826" s="67">
        <v>13693</v>
      </c>
      <c r="I826" s="67">
        <f t="shared" si="145"/>
        <v>100</v>
      </c>
    </row>
    <row r="827" spans="1:9" s="25" customFormat="1" ht="24">
      <c r="A827" s="135" t="s">
        <v>688</v>
      </c>
      <c r="B827" s="132" t="s">
        <v>188</v>
      </c>
      <c r="C827" s="132"/>
      <c r="D827" s="132"/>
      <c r="E827" s="132"/>
      <c r="F827" s="60">
        <f t="shared" ref="F827:H828" si="156">F828</f>
        <v>2982</v>
      </c>
      <c r="G827" s="60">
        <f t="shared" si="156"/>
        <v>2313.3328999999999</v>
      </c>
      <c r="H827" s="60">
        <f t="shared" si="156"/>
        <v>2982</v>
      </c>
      <c r="I827" s="60">
        <f t="shared" si="145"/>
        <v>100</v>
      </c>
    </row>
    <row r="828" spans="1:9" s="25" customFormat="1" ht="15">
      <c r="A828" s="135" t="s">
        <v>103</v>
      </c>
      <c r="B828" s="132" t="s">
        <v>190</v>
      </c>
      <c r="C828" s="132" t="s">
        <v>69</v>
      </c>
      <c r="D828" s="132"/>
      <c r="E828" s="132"/>
      <c r="F828" s="60">
        <f t="shared" si="156"/>
        <v>2982</v>
      </c>
      <c r="G828" s="60">
        <f t="shared" si="156"/>
        <v>2313.3328999999999</v>
      </c>
      <c r="H828" s="60">
        <f t="shared" si="156"/>
        <v>2982</v>
      </c>
      <c r="I828" s="60">
        <f t="shared" si="145"/>
        <v>100</v>
      </c>
    </row>
    <row r="829" spans="1:9" s="25" customFormat="1" ht="24">
      <c r="A829" s="135" t="s">
        <v>282</v>
      </c>
      <c r="B829" s="132" t="s">
        <v>190</v>
      </c>
      <c r="C829" s="132" t="s">
        <v>69</v>
      </c>
      <c r="D829" s="132" t="s">
        <v>270</v>
      </c>
      <c r="E829" s="132"/>
      <c r="F829" s="60">
        <f>F830+F832</f>
        <v>2982</v>
      </c>
      <c r="G829" s="60">
        <f>G830+G832</f>
        <v>2313.3328999999999</v>
      </c>
      <c r="H829" s="60">
        <f>H830+H832</f>
        <v>2982</v>
      </c>
      <c r="I829" s="60">
        <f t="shared" si="145"/>
        <v>100</v>
      </c>
    </row>
    <row r="830" spans="1:9" s="25" customFormat="1" ht="15">
      <c r="A830" s="139" t="s">
        <v>676</v>
      </c>
      <c r="B830" s="22" t="s">
        <v>190</v>
      </c>
      <c r="C830" s="22" t="s">
        <v>69</v>
      </c>
      <c r="D830" s="22" t="s">
        <v>270</v>
      </c>
      <c r="E830" s="22" t="s">
        <v>77</v>
      </c>
      <c r="F830" s="67">
        <f>F831</f>
        <v>2977</v>
      </c>
      <c r="G830" s="67">
        <f>G831</f>
        <v>2313.3328999999999</v>
      </c>
      <c r="H830" s="67">
        <f>H831</f>
        <v>2977</v>
      </c>
      <c r="I830" s="67">
        <f t="shared" si="145"/>
        <v>100</v>
      </c>
    </row>
    <row r="831" spans="1:9" s="25" customFormat="1" ht="24">
      <c r="A831" s="139" t="s">
        <v>78</v>
      </c>
      <c r="B831" s="22" t="s">
        <v>190</v>
      </c>
      <c r="C831" s="22" t="s">
        <v>69</v>
      </c>
      <c r="D831" s="22" t="s">
        <v>270</v>
      </c>
      <c r="E831" s="22" t="s">
        <v>79</v>
      </c>
      <c r="F831" s="67">
        <v>2977</v>
      </c>
      <c r="G831" s="280">
        <v>2313.3328999999999</v>
      </c>
      <c r="H831" s="67">
        <v>2977</v>
      </c>
      <c r="I831" s="67">
        <f t="shared" ref="I831:I894" si="157">H831/F831*100</f>
        <v>100</v>
      </c>
    </row>
    <row r="832" spans="1:9" s="25" customFormat="1" ht="15">
      <c r="A832" s="139" t="s">
        <v>80</v>
      </c>
      <c r="B832" s="22" t="s">
        <v>190</v>
      </c>
      <c r="C832" s="22" t="s">
        <v>69</v>
      </c>
      <c r="D832" s="22" t="s">
        <v>270</v>
      </c>
      <c r="E832" s="22" t="s">
        <v>81</v>
      </c>
      <c r="F832" s="67">
        <f>F833</f>
        <v>5</v>
      </c>
      <c r="G832" s="79">
        <f>G833</f>
        <v>0</v>
      </c>
      <c r="H832" s="67">
        <f>H833</f>
        <v>5</v>
      </c>
      <c r="I832" s="67">
        <f t="shared" si="157"/>
        <v>100</v>
      </c>
    </row>
    <row r="833" spans="1:9" s="25" customFormat="1" ht="15">
      <c r="A833" s="139" t="s">
        <v>445</v>
      </c>
      <c r="B833" s="22" t="s">
        <v>190</v>
      </c>
      <c r="C833" s="22" t="s">
        <v>69</v>
      </c>
      <c r="D833" s="22" t="s">
        <v>270</v>
      </c>
      <c r="E833" s="22" t="s">
        <v>82</v>
      </c>
      <c r="F833" s="67">
        <v>5</v>
      </c>
      <c r="G833" s="272">
        <v>0</v>
      </c>
      <c r="H833" s="67">
        <v>5</v>
      </c>
      <c r="I833" s="67">
        <f t="shared" si="157"/>
        <v>100</v>
      </c>
    </row>
    <row r="834" spans="1:9" s="25" customFormat="1" ht="15">
      <c r="A834" s="163" t="s">
        <v>687</v>
      </c>
      <c r="B834" s="137" t="s">
        <v>187</v>
      </c>
      <c r="C834" s="137"/>
      <c r="D834" s="137"/>
      <c r="E834" s="164"/>
      <c r="F834" s="143">
        <f t="shared" ref="F834:H835" si="158">F835</f>
        <v>157327.08825999999</v>
      </c>
      <c r="G834" s="276">
        <f t="shared" si="158"/>
        <v>120150.79063999999</v>
      </c>
      <c r="H834" s="143">
        <f t="shared" si="158"/>
        <v>157327.08825999999</v>
      </c>
      <c r="I834" s="136">
        <f t="shared" si="157"/>
        <v>100</v>
      </c>
    </row>
    <row r="835" spans="1:9" s="25" customFormat="1" ht="24">
      <c r="A835" s="141" t="s">
        <v>271</v>
      </c>
      <c r="B835" s="132" t="s">
        <v>188</v>
      </c>
      <c r="C835" s="132"/>
      <c r="D835" s="132"/>
      <c r="E835" s="132"/>
      <c r="F835" s="78">
        <f t="shared" si="158"/>
        <v>157327.08825999999</v>
      </c>
      <c r="G835" s="273">
        <f t="shared" si="158"/>
        <v>120150.79063999999</v>
      </c>
      <c r="H835" s="78">
        <f t="shared" si="158"/>
        <v>157327.08825999999</v>
      </c>
      <c r="I835" s="60">
        <f t="shared" si="157"/>
        <v>100</v>
      </c>
    </row>
    <row r="836" spans="1:9" s="25" customFormat="1" ht="15">
      <c r="A836" s="135" t="s">
        <v>103</v>
      </c>
      <c r="B836" s="132" t="s">
        <v>189</v>
      </c>
      <c r="C836" s="132" t="s">
        <v>69</v>
      </c>
      <c r="D836" s="132"/>
      <c r="E836" s="132"/>
      <c r="F836" s="60">
        <f>F837+F839</f>
        <v>157327.08825999999</v>
      </c>
      <c r="G836" s="282">
        <f>G837+G839</f>
        <v>120150.79063999999</v>
      </c>
      <c r="H836" s="60">
        <f>H837+H839</f>
        <v>157327.08825999999</v>
      </c>
      <c r="I836" s="60">
        <f t="shared" si="157"/>
        <v>100</v>
      </c>
    </row>
    <row r="837" spans="1:9" s="25" customFormat="1" ht="36">
      <c r="A837" s="139" t="s">
        <v>72</v>
      </c>
      <c r="B837" s="22" t="s">
        <v>189</v>
      </c>
      <c r="C837" s="22" t="s">
        <v>69</v>
      </c>
      <c r="D837" s="22" t="s">
        <v>71</v>
      </c>
      <c r="E837" s="22" t="s">
        <v>73</v>
      </c>
      <c r="F837" s="67">
        <f>F838</f>
        <v>130178.28825999999</v>
      </c>
      <c r="G837" s="280">
        <f>G838</f>
        <v>103704.23155</v>
      </c>
      <c r="H837" s="67">
        <f>H838</f>
        <v>130178.28825999999</v>
      </c>
      <c r="I837" s="67">
        <f t="shared" si="157"/>
        <v>100</v>
      </c>
    </row>
    <row r="838" spans="1:9" s="25" customFormat="1" ht="15">
      <c r="A838" s="139" t="s">
        <v>74</v>
      </c>
      <c r="B838" s="22" t="s">
        <v>189</v>
      </c>
      <c r="C838" s="22" t="s">
        <v>69</v>
      </c>
      <c r="D838" s="22" t="s">
        <v>71</v>
      </c>
      <c r="E838" s="22" t="s">
        <v>75</v>
      </c>
      <c r="F838" s="67">
        <f>116380.4+677.3+204+1348.3+418.7+891.9+269.8+1803.8+545.4+8150.16226+1152-100-827.558-735.916</f>
        <v>130178.28825999999</v>
      </c>
      <c r="G838" s="280">
        <v>103704.23155</v>
      </c>
      <c r="H838" s="67">
        <f>116380.4+677.3+204+1348.3+418.7+891.9+269.8+1803.8+545.4+8150.16226+1152-100-827.558-735.916</f>
        <v>130178.28825999999</v>
      </c>
      <c r="I838" s="67">
        <f t="shared" si="157"/>
        <v>100</v>
      </c>
    </row>
    <row r="839" spans="1:9" s="25" customFormat="1" ht="15">
      <c r="A839" s="135" t="s">
        <v>76</v>
      </c>
      <c r="B839" s="132" t="s">
        <v>188</v>
      </c>
      <c r="C839" s="132"/>
      <c r="D839" s="132"/>
      <c r="E839" s="132"/>
      <c r="F839" s="60">
        <f>F840</f>
        <v>27148.799999999999</v>
      </c>
      <c r="G839" s="282">
        <f>G840</f>
        <v>16446.559089999999</v>
      </c>
      <c r="H839" s="60">
        <f>H840</f>
        <v>27148.799999999999</v>
      </c>
      <c r="I839" s="60">
        <f t="shared" si="157"/>
        <v>100</v>
      </c>
    </row>
    <row r="840" spans="1:9" s="25" customFormat="1" ht="15">
      <c r="A840" s="135" t="s">
        <v>103</v>
      </c>
      <c r="B840" s="132" t="s">
        <v>190</v>
      </c>
      <c r="C840" s="132" t="s">
        <v>69</v>
      </c>
      <c r="D840" s="132"/>
      <c r="E840" s="132"/>
      <c r="F840" s="60">
        <f>F841+F843</f>
        <v>27148.799999999999</v>
      </c>
      <c r="G840" s="282">
        <f>G841+G843</f>
        <v>16446.559089999999</v>
      </c>
      <c r="H840" s="60">
        <f>H841+H843</f>
        <v>27148.799999999999</v>
      </c>
      <c r="I840" s="60">
        <f t="shared" si="157"/>
        <v>100</v>
      </c>
    </row>
    <row r="841" spans="1:9" s="25" customFormat="1" ht="15">
      <c r="A841" s="139" t="s">
        <v>676</v>
      </c>
      <c r="B841" s="22" t="s">
        <v>190</v>
      </c>
      <c r="C841" s="22" t="s">
        <v>69</v>
      </c>
      <c r="D841" s="22" t="s">
        <v>71</v>
      </c>
      <c r="E841" s="22" t="s">
        <v>77</v>
      </c>
      <c r="F841" s="67">
        <f>F842</f>
        <v>24813.8</v>
      </c>
      <c r="G841" s="280">
        <f>G842</f>
        <v>15411.937099999999</v>
      </c>
      <c r="H841" s="67">
        <f>H842</f>
        <v>24813.8</v>
      </c>
      <c r="I841" s="67">
        <f t="shared" si="157"/>
        <v>100</v>
      </c>
    </row>
    <row r="842" spans="1:9" s="25" customFormat="1" ht="24">
      <c r="A842" s="139" t="s">
        <v>78</v>
      </c>
      <c r="B842" s="22" t="s">
        <v>190</v>
      </c>
      <c r="C842" s="22" t="s">
        <v>69</v>
      </c>
      <c r="D842" s="22" t="s">
        <v>71</v>
      </c>
      <c r="E842" s="22" t="s">
        <v>79</v>
      </c>
      <c r="F842" s="67">
        <v>24813.8</v>
      </c>
      <c r="G842" s="280">
        <v>15411.937099999999</v>
      </c>
      <c r="H842" s="67">
        <v>24813.8</v>
      </c>
      <c r="I842" s="67">
        <f t="shared" si="157"/>
        <v>100</v>
      </c>
    </row>
    <row r="843" spans="1:9" s="25" customFormat="1" ht="15">
      <c r="A843" s="139" t="s">
        <v>80</v>
      </c>
      <c r="B843" s="22" t="s">
        <v>190</v>
      </c>
      <c r="C843" s="22" t="s">
        <v>69</v>
      </c>
      <c r="D843" s="22" t="s">
        <v>71</v>
      </c>
      <c r="E843" s="22" t="s">
        <v>81</v>
      </c>
      <c r="F843" s="67">
        <f>F844</f>
        <v>2335</v>
      </c>
      <c r="G843" s="280">
        <f>G844</f>
        <v>1034.6219900000001</v>
      </c>
      <c r="H843" s="67">
        <f>H844</f>
        <v>2335</v>
      </c>
      <c r="I843" s="67">
        <f t="shared" si="157"/>
        <v>100</v>
      </c>
    </row>
    <row r="844" spans="1:9" s="25" customFormat="1" ht="15">
      <c r="A844" s="139" t="s">
        <v>445</v>
      </c>
      <c r="B844" s="22" t="s">
        <v>190</v>
      </c>
      <c r="C844" s="22" t="s">
        <v>69</v>
      </c>
      <c r="D844" s="22" t="s">
        <v>71</v>
      </c>
      <c r="E844" s="22" t="s">
        <v>82</v>
      </c>
      <c r="F844" s="67">
        <f>835+500+1000</f>
        <v>2335</v>
      </c>
      <c r="G844" s="280">
        <v>1034.6219900000001</v>
      </c>
      <c r="H844" s="67">
        <f>835+500+1000</f>
        <v>2335</v>
      </c>
      <c r="I844" s="67">
        <f t="shared" si="157"/>
        <v>100</v>
      </c>
    </row>
    <row r="845" spans="1:9" s="25" customFormat="1" ht="15">
      <c r="A845" s="163" t="s">
        <v>687</v>
      </c>
      <c r="B845" s="137" t="s">
        <v>187</v>
      </c>
      <c r="C845" s="137"/>
      <c r="D845" s="137"/>
      <c r="E845" s="137"/>
      <c r="F845" s="162">
        <f>F846</f>
        <v>7097.2830599999998</v>
      </c>
      <c r="G845" s="291">
        <f>G846</f>
        <v>6006.3020200000001</v>
      </c>
      <c r="H845" s="162">
        <f>H846</f>
        <v>7097.2830599999998</v>
      </c>
      <c r="I845" s="136">
        <f t="shared" si="157"/>
        <v>100</v>
      </c>
    </row>
    <row r="846" spans="1:9" s="25" customFormat="1" ht="24">
      <c r="A846" s="141" t="s">
        <v>271</v>
      </c>
      <c r="B846" s="132" t="s">
        <v>188</v>
      </c>
      <c r="C846" s="132"/>
      <c r="D846" s="132"/>
      <c r="E846" s="132"/>
      <c r="F846" s="60">
        <f>F847+F851</f>
        <v>7097.2830599999998</v>
      </c>
      <c r="G846" s="282">
        <f>G847+G851</f>
        <v>6006.3020200000001</v>
      </c>
      <c r="H846" s="60">
        <f>H847+H851</f>
        <v>7097.2830599999998</v>
      </c>
      <c r="I846" s="60">
        <f t="shared" si="157"/>
        <v>100</v>
      </c>
    </row>
    <row r="847" spans="1:9" s="25" customFormat="1" ht="15">
      <c r="A847" s="135" t="s">
        <v>333</v>
      </c>
      <c r="B847" s="132" t="s">
        <v>189</v>
      </c>
      <c r="C847" s="132" t="s">
        <v>376</v>
      </c>
      <c r="D847" s="132"/>
      <c r="E847" s="132"/>
      <c r="F847" s="60">
        <f t="shared" ref="F847:H849" si="159">F848</f>
        <v>5938</v>
      </c>
      <c r="G847" s="282">
        <f t="shared" si="159"/>
        <v>5037.94902</v>
      </c>
      <c r="H847" s="60">
        <f t="shared" si="159"/>
        <v>5938</v>
      </c>
      <c r="I847" s="60">
        <f t="shared" si="157"/>
        <v>100</v>
      </c>
    </row>
    <row r="848" spans="1:9" s="25" customFormat="1" ht="15">
      <c r="A848" s="152" t="s">
        <v>337</v>
      </c>
      <c r="B848" s="132" t="s">
        <v>189</v>
      </c>
      <c r="C848" s="132" t="s">
        <v>376</v>
      </c>
      <c r="D848" s="132" t="s">
        <v>376</v>
      </c>
      <c r="E848" s="132"/>
      <c r="F848" s="60">
        <f t="shared" si="159"/>
        <v>5938</v>
      </c>
      <c r="G848" s="282">
        <f t="shared" si="159"/>
        <v>5037.94902</v>
      </c>
      <c r="H848" s="60">
        <f t="shared" si="159"/>
        <v>5938</v>
      </c>
      <c r="I848" s="60">
        <f t="shared" si="157"/>
        <v>100</v>
      </c>
    </row>
    <row r="849" spans="1:9" s="25" customFormat="1" ht="36">
      <c r="A849" s="139" t="s">
        <v>72</v>
      </c>
      <c r="B849" s="22" t="s">
        <v>189</v>
      </c>
      <c r="C849" s="22" t="s">
        <v>376</v>
      </c>
      <c r="D849" s="22" t="s">
        <v>376</v>
      </c>
      <c r="E849" s="22" t="s">
        <v>73</v>
      </c>
      <c r="F849" s="67">
        <f t="shared" si="159"/>
        <v>5938</v>
      </c>
      <c r="G849" s="280">
        <f t="shared" si="159"/>
        <v>5037.94902</v>
      </c>
      <c r="H849" s="67">
        <f t="shared" si="159"/>
        <v>5938</v>
      </c>
      <c r="I849" s="67">
        <f t="shared" si="157"/>
        <v>100</v>
      </c>
    </row>
    <row r="850" spans="1:9" s="25" customFormat="1" ht="15">
      <c r="A850" s="139" t="s">
        <v>74</v>
      </c>
      <c r="B850" s="22" t="s">
        <v>189</v>
      </c>
      <c r="C850" s="22" t="s">
        <v>376</v>
      </c>
      <c r="D850" s="22" t="s">
        <v>376</v>
      </c>
      <c r="E850" s="22" t="s">
        <v>75</v>
      </c>
      <c r="F850" s="67">
        <v>5938</v>
      </c>
      <c r="G850" s="280">
        <v>5037.94902</v>
      </c>
      <c r="H850" s="67">
        <v>5938</v>
      </c>
      <c r="I850" s="67">
        <f t="shared" si="157"/>
        <v>100</v>
      </c>
    </row>
    <row r="851" spans="1:9" s="25" customFormat="1" ht="15">
      <c r="A851" s="135" t="s">
        <v>76</v>
      </c>
      <c r="B851" s="132" t="s">
        <v>188</v>
      </c>
      <c r="C851" s="132"/>
      <c r="D851" s="132"/>
      <c r="E851" s="132"/>
      <c r="F851" s="60">
        <f t="shared" ref="F851:H852" si="160">F852</f>
        <v>1159.28306</v>
      </c>
      <c r="G851" s="282">
        <f t="shared" si="160"/>
        <v>968.35300000000007</v>
      </c>
      <c r="H851" s="60">
        <f t="shared" si="160"/>
        <v>1159.28306</v>
      </c>
      <c r="I851" s="60">
        <f t="shared" si="157"/>
        <v>100</v>
      </c>
    </row>
    <row r="852" spans="1:9" s="25" customFormat="1" ht="15">
      <c r="A852" s="135" t="s">
        <v>333</v>
      </c>
      <c r="B852" s="132" t="s">
        <v>190</v>
      </c>
      <c r="C852" s="132" t="s">
        <v>376</v>
      </c>
      <c r="D852" s="132"/>
      <c r="E852" s="132"/>
      <c r="F852" s="60">
        <f t="shared" si="160"/>
        <v>1159.28306</v>
      </c>
      <c r="G852" s="282">
        <f t="shared" si="160"/>
        <v>968.35300000000007</v>
      </c>
      <c r="H852" s="60">
        <f t="shared" si="160"/>
        <v>1159.28306</v>
      </c>
      <c r="I852" s="60">
        <f t="shared" si="157"/>
        <v>100</v>
      </c>
    </row>
    <row r="853" spans="1:9" s="25" customFormat="1" ht="15">
      <c r="A853" s="152" t="s">
        <v>337</v>
      </c>
      <c r="B853" s="22" t="s">
        <v>190</v>
      </c>
      <c r="C853" s="132" t="s">
        <v>376</v>
      </c>
      <c r="D853" s="132" t="s">
        <v>376</v>
      </c>
      <c r="E853" s="132"/>
      <c r="F853" s="60">
        <f>F854+F856</f>
        <v>1159.28306</v>
      </c>
      <c r="G853" s="282">
        <f>G854+G856</f>
        <v>968.35300000000007</v>
      </c>
      <c r="H853" s="60">
        <f>H854+H856</f>
        <v>1159.28306</v>
      </c>
      <c r="I853" s="60">
        <f t="shared" si="157"/>
        <v>100</v>
      </c>
    </row>
    <row r="854" spans="1:9" s="25" customFormat="1" ht="15">
      <c r="A854" s="139" t="s">
        <v>676</v>
      </c>
      <c r="B854" s="22" t="s">
        <v>190</v>
      </c>
      <c r="C854" s="22" t="s">
        <v>376</v>
      </c>
      <c r="D854" s="22" t="s">
        <v>376</v>
      </c>
      <c r="E854" s="22" t="s">
        <v>77</v>
      </c>
      <c r="F854" s="67">
        <f>F855</f>
        <v>610</v>
      </c>
      <c r="G854" s="280">
        <f>G855</f>
        <v>487.82400000000001</v>
      </c>
      <c r="H854" s="67">
        <f>H855</f>
        <v>610</v>
      </c>
      <c r="I854" s="67">
        <f t="shared" si="157"/>
        <v>100</v>
      </c>
    </row>
    <row r="855" spans="1:9" s="25" customFormat="1" ht="24">
      <c r="A855" s="139" t="s">
        <v>78</v>
      </c>
      <c r="B855" s="22" t="s">
        <v>190</v>
      </c>
      <c r="C855" s="22" t="s">
        <v>376</v>
      </c>
      <c r="D855" s="22" t="s">
        <v>376</v>
      </c>
      <c r="E855" s="22" t="s">
        <v>79</v>
      </c>
      <c r="F855" s="67">
        <v>610</v>
      </c>
      <c r="G855" s="280">
        <v>487.82400000000001</v>
      </c>
      <c r="H855" s="67">
        <v>610</v>
      </c>
      <c r="I855" s="67">
        <f t="shared" si="157"/>
        <v>100</v>
      </c>
    </row>
    <row r="856" spans="1:9" s="25" customFormat="1" ht="15">
      <c r="A856" s="139" t="s">
        <v>80</v>
      </c>
      <c r="B856" s="22" t="s">
        <v>190</v>
      </c>
      <c r="C856" s="22" t="s">
        <v>376</v>
      </c>
      <c r="D856" s="22" t="s">
        <v>376</v>
      </c>
      <c r="E856" s="22" t="s">
        <v>81</v>
      </c>
      <c r="F856" s="67">
        <f>F857</f>
        <v>549.28305999999998</v>
      </c>
      <c r="G856" s="280">
        <f>G857</f>
        <v>480.529</v>
      </c>
      <c r="H856" s="67">
        <f>H857</f>
        <v>549.28305999999998</v>
      </c>
      <c r="I856" s="67">
        <f t="shared" si="157"/>
        <v>100</v>
      </c>
    </row>
    <row r="857" spans="1:9" s="25" customFormat="1" ht="15">
      <c r="A857" s="139" t="s">
        <v>445</v>
      </c>
      <c r="B857" s="22" t="s">
        <v>190</v>
      </c>
      <c r="C857" s="22" t="s">
        <v>376</v>
      </c>
      <c r="D857" s="22" t="s">
        <v>376</v>
      </c>
      <c r="E857" s="22" t="s">
        <v>82</v>
      </c>
      <c r="F857" s="67">
        <f>75+474.28306</f>
        <v>549.28305999999998</v>
      </c>
      <c r="G857" s="280">
        <v>480.529</v>
      </c>
      <c r="H857" s="67">
        <v>549.28305999999998</v>
      </c>
      <c r="I857" s="67">
        <f t="shared" si="157"/>
        <v>100</v>
      </c>
    </row>
    <row r="858" spans="1:9" s="25" customFormat="1" ht="15">
      <c r="A858" s="161" t="s">
        <v>272</v>
      </c>
      <c r="B858" s="160"/>
      <c r="C858" s="160"/>
      <c r="D858" s="160"/>
      <c r="E858" s="160"/>
      <c r="F858" s="159">
        <f>F859+F874+F883+F892+F897+F902+F916+F921+F926+F932+F937+F942+F949+F955+F960+F965+F976+F987+F992+F911+F1001+F1008+F1016+F1021</f>
        <v>231665.01899000001</v>
      </c>
      <c r="G858" s="290">
        <f>G859+G874+G883+G892+G897+G902+G916+G921+G926+G932+G937+G942+G949+G955+G960+G965+G976+G987+G992+G911+G1001+G1008+G1016+G1021</f>
        <v>130723.44385000001</v>
      </c>
      <c r="H858" s="159">
        <f>H859+H874+H883+H892+H897+H902+H916+H921+H926+H932+H937+H942+H949+H955+H960+H965+H976+H987+H992+H911+H1001+H1008+H1016+H1021</f>
        <v>229065.01899000001</v>
      </c>
      <c r="I858" s="159">
        <f t="shared" si="157"/>
        <v>98.877689859550074</v>
      </c>
    </row>
    <row r="859" spans="1:9" s="25" customFormat="1" ht="15">
      <c r="A859" s="142" t="s">
        <v>84</v>
      </c>
      <c r="B859" s="137" t="s">
        <v>188</v>
      </c>
      <c r="C859" s="137"/>
      <c r="D859" s="137"/>
      <c r="E859" s="137"/>
      <c r="F859" s="136">
        <f>F860+F864+F869</f>
        <v>6000</v>
      </c>
      <c r="G859" s="283">
        <f>G860+G864+G869</f>
        <v>2972.143</v>
      </c>
      <c r="H859" s="136">
        <f>H860+H864+H869</f>
        <v>6000</v>
      </c>
      <c r="I859" s="136">
        <f t="shared" si="157"/>
        <v>100</v>
      </c>
    </row>
    <row r="860" spans="1:9" s="25" customFormat="1" ht="15">
      <c r="A860" s="135" t="s">
        <v>103</v>
      </c>
      <c r="B860" s="132" t="s">
        <v>288</v>
      </c>
      <c r="C860" s="132" t="s">
        <v>69</v>
      </c>
      <c r="D860" s="132"/>
      <c r="E860" s="132"/>
      <c r="F860" s="158">
        <f t="shared" ref="F860:H862" si="161">F861</f>
        <v>3027.857</v>
      </c>
      <c r="G860" s="289">
        <f t="shared" si="161"/>
        <v>0</v>
      </c>
      <c r="H860" s="158">
        <f t="shared" si="161"/>
        <v>3027.857</v>
      </c>
      <c r="I860" s="158">
        <f t="shared" si="157"/>
        <v>100</v>
      </c>
    </row>
    <row r="861" spans="1:9" s="25" customFormat="1" ht="15">
      <c r="A861" s="135" t="s">
        <v>284</v>
      </c>
      <c r="B861" s="132" t="s">
        <v>288</v>
      </c>
      <c r="C861" s="132" t="s">
        <v>69</v>
      </c>
      <c r="D861" s="132" t="s">
        <v>83</v>
      </c>
      <c r="E861" s="22"/>
      <c r="F861" s="158">
        <f t="shared" si="161"/>
        <v>3027.857</v>
      </c>
      <c r="G861" s="289">
        <f t="shared" si="161"/>
        <v>0</v>
      </c>
      <c r="H861" s="158">
        <f t="shared" si="161"/>
        <v>3027.857</v>
      </c>
      <c r="I861" s="158">
        <f t="shared" si="157"/>
        <v>100</v>
      </c>
    </row>
    <row r="862" spans="1:9" s="25" customFormat="1" ht="15">
      <c r="A862" s="139" t="s">
        <v>80</v>
      </c>
      <c r="B862" s="22" t="s">
        <v>288</v>
      </c>
      <c r="C862" s="22" t="s">
        <v>69</v>
      </c>
      <c r="D862" s="22" t="s">
        <v>83</v>
      </c>
      <c r="E862" s="22" t="s">
        <v>81</v>
      </c>
      <c r="F862" s="156">
        <f t="shared" si="161"/>
        <v>3027.857</v>
      </c>
      <c r="G862" s="288">
        <f t="shared" si="161"/>
        <v>0</v>
      </c>
      <c r="H862" s="156">
        <f t="shared" si="161"/>
        <v>3027.857</v>
      </c>
      <c r="I862" s="156">
        <f t="shared" si="157"/>
        <v>100</v>
      </c>
    </row>
    <row r="863" spans="1:9" s="25" customFormat="1" ht="15">
      <c r="A863" s="139" t="s">
        <v>85</v>
      </c>
      <c r="B863" s="22" t="s">
        <v>288</v>
      </c>
      <c r="C863" s="22" t="s">
        <v>69</v>
      </c>
      <c r="D863" s="22" t="s">
        <v>83</v>
      </c>
      <c r="E863" s="22" t="s">
        <v>380</v>
      </c>
      <c r="F863" s="156">
        <f>3000-2942.143+3000-30</f>
        <v>3027.857</v>
      </c>
      <c r="G863" s="288">
        <v>0</v>
      </c>
      <c r="H863" s="156">
        <v>3027.857</v>
      </c>
      <c r="I863" s="156">
        <f t="shared" si="157"/>
        <v>100</v>
      </c>
    </row>
    <row r="864" spans="1:9" s="25" customFormat="1" ht="15">
      <c r="A864" s="58" t="s">
        <v>333</v>
      </c>
      <c r="B864" s="132" t="s">
        <v>288</v>
      </c>
      <c r="C864" s="132"/>
      <c r="D864" s="132"/>
      <c r="E864" s="132"/>
      <c r="F864" s="158">
        <f t="shared" ref="F864:H867" si="162">F865</f>
        <v>2942.143</v>
      </c>
      <c r="G864" s="289">
        <f t="shared" si="162"/>
        <v>2942.143</v>
      </c>
      <c r="H864" s="158">
        <f t="shared" si="162"/>
        <v>2942.143</v>
      </c>
      <c r="I864" s="158">
        <f t="shared" si="157"/>
        <v>100</v>
      </c>
    </row>
    <row r="865" spans="1:9" s="25" customFormat="1" ht="15">
      <c r="A865" s="58" t="s">
        <v>336</v>
      </c>
      <c r="B865" s="132" t="s">
        <v>288</v>
      </c>
      <c r="C865" s="132" t="s">
        <v>376</v>
      </c>
      <c r="D865" s="132"/>
      <c r="E865" s="132"/>
      <c r="F865" s="158">
        <f t="shared" si="162"/>
        <v>2942.143</v>
      </c>
      <c r="G865" s="289">
        <f t="shared" si="162"/>
        <v>2942.143</v>
      </c>
      <c r="H865" s="158">
        <f t="shared" si="162"/>
        <v>2942.143</v>
      </c>
      <c r="I865" s="158">
        <f t="shared" si="157"/>
        <v>100</v>
      </c>
    </row>
    <row r="866" spans="1:9" s="25" customFormat="1" ht="15">
      <c r="A866" s="135" t="s">
        <v>284</v>
      </c>
      <c r="B866" s="132" t="s">
        <v>288</v>
      </c>
      <c r="C866" s="132" t="s">
        <v>376</v>
      </c>
      <c r="D866" s="132" t="s">
        <v>423</v>
      </c>
      <c r="E866" s="132"/>
      <c r="F866" s="158">
        <f t="shared" si="162"/>
        <v>2942.143</v>
      </c>
      <c r="G866" s="289">
        <f t="shared" si="162"/>
        <v>2942.143</v>
      </c>
      <c r="H866" s="158">
        <f t="shared" si="162"/>
        <v>2942.143</v>
      </c>
      <c r="I866" s="158">
        <f t="shared" si="157"/>
        <v>100</v>
      </c>
    </row>
    <row r="867" spans="1:9" s="25" customFormat="1" ht="24">
      <c r="A867" s="65" t="s">
        <v>94</v>
      </c>
      <c r="B867" s="22" t="s">
        <v>288</v>
      </c>
      <c r="C867" s="22" t="s">
        <v>376</v>
      </c>
      <c r="D867" s="22" t="s">
        <v>423</v>
      </c>
      <c r="E867" s="22" t="s">
        <v>362</v>
      </c>
      <c r="F867" s="156">
        <f t="shared" si="162"/>
        <v>2942.143</v>
      </c>
      <c r="G867" s="288">
        <f t="shared" si="162"/>
        <v>2942.143</v>
      </c>
      <c r="H867" s="156">
        <f t="shared" si="162"/>
        <v>2942.143</v>
      </c>
      <c r="I867" s="156">
        <f t="shared" si="157"/>
        <v>100</v>
      </c>
    </row>
    <row r="868" spans="1:9" s="25" customFormat="1" ht="15">
      <c r="A868" s="65" t="s">
        <v>95</v>
      </c>
      <c r="B868" s="22" t="s">
        <v>288</v>
      </c>
      <c r="C868" s="22" t="s">
        <v>376</v>
      </c>
      <c r="D868" s="22" t="s">
        <v>423</v>
      </c>
      <c r="E868" s="22" t="s">
        <v>371</v>
      </c>
      <c r="F868" s="156">
        <v>2942.143</v>
      </c>
      <c r="G868" s="156">
        <v>2942.143</v>
      </c>
      <c r="H868" s="156">
        <v>2942.143</v>
      </c>
      <c r="I868" s="156">
        <f t="shared" si="157"/>
        <v>100</v>
      </c>
    </row>
    <row r="869" spans="1:9" s="25" customFormat="1" ht="15">
      <c r="A869" s="135" t="s">
        <v>360</v>
      </c>
      <c r="B869" s="132" t="s">
        <v>288</v>
      </c>
      <c r="C869" s="132"/>
      <c r="D869" s="132"/>
      <c r="E869" s="132"/>
      <c r="F869" s="158">
        <f t="shared" ref="F869:H872" si="163">F870</f>
        <v>30</v>
      </c>
      <c r="G869" s="289">
        <f t="shared" si="163"/>
        <v>30</v>
      </c>
      <c r="H869" s="158">
        <f t="shared" si="163"/>
        <v>30</v>
      </c>
      <c r="I869" s="158">
        <f t="shared" si="157"/>
        <v>100</v>
      </c>
    </row>
    <row r="870" spans="1:9" s="25" customFormat="1" ht="15">
      <c r="A870" s="135" t="s">
        <v>349</v>
      </c>
      <c r="B870" s="132" t="s">
        <v>288</v>
      </c>
      <c r="C870" s="132" t="s">
        <v>446</v>
      </c>
      <c r="D870" s="132"/>
      <c r="E870" s="132"/>
      <c r="F870" s="158">
        <f t="shared" si="163"/>
        <v>30</v>
      </c>
      <c r="G870" s="289">
        <f t="shared" si="163"/>
        <v>30</v>
      </c>
      <c r="H870" s="158">
        <f t="shared" si="163"/>
        <v>30</v>
      </c>
      <c r="I870" s="158">
        <f t="shared" si="157"/>
        <v>100</v>
      </c>
    </row>
    <row r="871" spans="1:9" s="25" customFormat="1" ht="15">
      <c r="A871" s="135" t="s">
        <v>284</v>
      </c>
      <c r="B871" s="132" t="s">
        <v>288</v>
      </c>
      <c r="C871" s="132" t="s">
        <v>446</v>
      </c>
      <c r="D871" s="132" t="s">
        <v>423</v>
      </c>
      <c r="E871" s="132"/>
      <c r="F871" s="158">
        <f t="shared" si="163"/>
        <v>30</v>
      </c>
      <c r="G871" s="289">
        <f t="shared" si="163"/>
        <v>30</v>
      </c>
      <c r="H871" s="158">
        <f t="shared" si="163"/>
        <v>30</v>
      </c>
      <c r="I871" s="158">
        <f t="shared" si="157"/>
        <v>100</v>
      </c>
    </row>
    <row r="872" spans="1:9" s="25" customFormat="1" ht="15">
      <c r="A872" s="65" t="s">
        <v>88</v>
      </c>
      <c r="B872" s="22" t="s">
        <v>288</v>
      </c>
      <c r="C872" s="66" t="s">
        <v>446</v>
      </c>
      <c r="D872" s="66" t="s">
        <v>423</v>
      </c>
      <c r="E872" s="66" t="s">
        <v>87</v>
      </c>
      <c r="F872" s="156">
        <f t="shared" si="163"/>
        <v>30</v>
      </c>
      <c r="G872" s="288">
        <f t="shared" si="163"/>
        <v>30</v>
      </c>
      <c r="H872" s="156">
        <f t="shared" si="163"/>
        <v>30</v>
      </c>
      <c r="I872" s="156">
        <f t="shared" si="157"/>
        <v>100</v>
      </c>
    </row>
    <row r="873" spans="1:9" s="25" customFormat="1" ht="15">
      <c r="A873" s="65" t="s">
        <v>89</v>
      </c>
      <c r="B873" s="22" t="s">
        <v>288</v>
      </c>
      <c r="C873" s="66" t="s">
        <v>446</v>
      </c>
      <c r="D873" s="66" t="s">
        <v>423</v>
      </c>
      <c r="E873" s="66" t="s">
        <v>90</v>
      </c>
      <c r="F873" s="156">
        <v>30</v>
      </c>
      <c r="G873" s="288">
        <v>30</v>
      </c>
      <c r="H873" s="156">
        <v>30</v>
      </c>
      <c r="I873" s="156">
        <f t="shared" si="157"/>
        <v>100</v>
      </c>
    </row>
    <row r="874" spans="1:9" s="25" customFormat="1" ht="27">
      <c r="A874" s="142" t="s">
        <v>686</v>
      </c>
      <c r="B874" s="137" t="s">
        <v>188</v>
      </c>
      <c r="C874" s="137"/>
      <c r="D874" s="137"/>
      <c r="E874" s="137"/>
      <c r="F874" s="136">
        <f t="shared" ref="F874:H875" si="164">F875</f>
        <v>49264.9</v>
      </c>
      <c r="G874" s="283">
        <f t="shared" si="164"/>
        <v>39151.975169999998</v>
      </c>
      <c r="H874" s="136">
        <f t="shared" si="164"/>
        <v>49264.9</v>
      </c>
      <c r="I874" s="136">
        <f t="shared" si="157"/>
        <v>100</v>
      </c>
    </row>
    <row r="875" spans="1:9" s="25" customFormat="1" ht="15">
      <c r="A875" s="135" t="s">
        <v>103</v>
      </c>
      <c r="B875" s="132" t="s">
        <v>289</v>
      </c>
      <c r="C875" s="134" t="s">
        <v>69</v>
      </c>
      <c r="D875" s="134"/>
      <c r="E875" s="134"/>
      <c r="F875" s="157">
        <f t="shared" si="164"/>
        <v>49264.9</v>
      </c>
      <c r="G875" s="287">
        <f t="shared" si="164"/>
        <v>39151.975169999998</v>
      </c>
      <c r="H875" s="157">
        <f t="shared" si="164"/>
        <v>49264.9</v>
      </c>
      <c r="I875" s="158">
        <f t="shared" si="157"/>
        <v>100</v>
      </c>
    </row>
    <row r="876" spans="1:9" s="25" customFormat="1" ht="15">
      <c r="A876" s="135" t="s">
        <v>677</v>
      </c>
      <c r="B876" s="132" t="s">
        <v>289</v>
      </c>
      <c r="C876" s="134" t="s">
        <v>69</v>
      </c>
      <c r="D876" s="134" t="s">
        <v>86</v>
      </c>
      <c r="E876" s="134"/>
      <c r="F876" s="157">
        <f>F877+F879+F881</f>
        <v>49264.9</v>
      </c>
      <c r="G876" s="287">
        <f>G877+G879+G881</f>
        <v>39151.975169999998</v>
      </c>
      <c r="H876" s="157">
        <f>H877+H879+H881</f>
        <v>49264.9</v>
      </c>
      <c r="I876" s="158">
        <f t="shared" si="157"/>
        <v>100</v>
      </c>
    </row>
    <row r="877" spans="1:9" s="25" customFormat="1" ht="36">
      <c r="A877" s="139" t="s">
        <v>72</v>
      </c>
      <c r="B877" s="22" t="s">
        <v>289</v>
      </c>
      <c r="C877" s="22" t="s">
        <v>69</v>
      </c>
      <c r="D877" s="22" t="s">
        <v>86</v>
      </c>
      <c r="E877" s="22" t="s">
        <v>73</v>
      </c>
      <c r="F877" s="156">
        <f>F878</f>
        <v>37434.9</v>
      </c>
      <c r="G877" s="286">
        <f>G878</f>
        <v>32429.728480000002</v>
      </c>
      <c r="H877" s="156">
        <f>H878</f>
        <v>37434.9</v>
      </c>
      <c r="I877" s="156">
        <f t="shared" si="157"/>
        <v>100</v>
      </c>
    </row>
    <row r="878" spans="1:9" s="25" customFormat="1" ht="15">
      <c r="A878" s="139" t="s">
        <v>426</v>
      </c>
      <c r="B878" s="22" t="s">
        <v>289</v>
      </c>
      <c r="C878" s="22" t="s">
        <v>69</v>
      </c>
      <c r="D878" s="22" t="s">
        <v>86</v>
      </c>
      <c r="E878" s="22" t="s">
        <v>427</v>
      </c>
      <c r="F878" s="156">
        <v>37434.9</v>
      </c>
      <c r="G878" s="286">
        <v>32429.728480000002</v>
      </c>
      <c r="H878" s="156">
        <v>37434.9</v>
      </c>
      <c r="I878" s="156">
        <f t="shared" si="157"/>
        <v>100</v>
      </c>
    </row>
    <row r="879" spans="1:9" s="25" customFormat="1" ht="15">
      <c r="A879" s="139" t="s">
        <v>676</v>
      </c>
      <c r="B879" s="22" t="s">
        <v>289</v>
      </c>
      <c r="C879" s="22" t="s">
        <v>69</v>
      </c>
      <c r="D879" s="22" t="s">
        <v>86</v>
      </c>
      <c r="E879" s="22" t="s">
        <v>77</v>
      </c>
      <c r="F879" s="156">
        <f>F880</f>
        <v>11580</v>
      </c>
      <c r="G879" s="286">
        <f>G880</f>
        <v>6708.9268599999996</v>
      </c>
      <c r="H879" s="156">
        <f>H880</f>
        <v>11580</v>
      </c>
      <c r="I879" s="156">
        <f t="shared" si="157"/>
        <v>100</v>
      </c>
    </row>
    <row r="880" spans="1:9" s="25" customFormat="1" ht="24">
      <c r="A880" s="139" t="s">
        <v>78</v>
      </c>
      <c r="B880" s="22" t="s">
        <v>289</v>
      </c>
      <c r="C880" s="22" t="s">
        <v>69</v>
      </c>
      <c r="D880" s="22" t="s">
        <v>86</v>
      </c>
      <c r="E880" s="22" t="s">
        <v>79</v>
      </c>
      <c r="F880" s="156">
        <v>11580</v>
      </c>
      <c r="G880" s="286">
        <v>6708.9268599999996</v>
      </c>
      <c r="H880" s="156">
        <v>11580</v>
      </c>
      <c r="I880" s="156">
        <f t="shared" si="157"/>
        <v>100</v>
      </c>
    </row>
    <row r="881" spans="1:9" s="25" customFormat="1" ht="15">
      <c r="A881" s="139" t="s">
        <v>80</v>
      </c>
      <c r="B881" s="22" t="s">
        <v>289</v>
      </c>
      <c r="C881" s="22" t="s">
        <v>69</v>
      </c>
      <c r="D881" s="22" t="s">
        <v>86</v>
      </c>
      <c r="E881" s="22" t="s">
        <v>81</v>
      </c>
      <c r="F881" s="156">
        <f>F882</f>
        <v>250</v>
      </c>
      <c r="G881" s="286">
        <f>G882</f>
        <v>13.31983</v>
      </c>
      <c r="H881" s="156">
        <f>H882</f>
        <v>250</v>
      </c>
      <c r="I881" s="156">
        <f t="shared" si="157"/>
        <v>100</v>
      </c>
    </row>
    <row r="882" spans="1:9" s="25" customFormat="1" ht="15">
      <c r="A882" s="139" t="s">
        <v>445</v>
      </c>
      <c r="B882" s="22" t="s">
        <v>289</v>
      </c>
      <c r="C882" s="22" t="s">
        <v>69</v>
      </c>
      <c r="D882" s="22" t="s">
        <v>86</v>
      </c>
      <c r="E882" s="22" t="s">
        <v>82</v>
      </c>
      <c r="F882" s="156">
        <v>250</v>
      </c>
      <c r="G882" s="286">
        <v>13.31983</v>
      </c>
      <c r="H882" s="156">
        <v>250</v>
      </c>
      <c r="I882" s="156">
        <f t="shared" si="157"/>
        <v>100</v>
      </c>
    </row>
    <row r="883" spans="1:9" s="25" customFormat="1" ht="15">
      <c r="A883" s="142" t="s">
        <v>685</v>
      </c>
      <c r="B883" s="137" t="s">
        <v>188</v>
      </c>
      <c r="C883" s="137"/>
      <c r="D883" s="137"/>
      <c r="E883" s="137"/>
      <c r="F883" s="143">
        <f t="shared" ref="F883:H884" si="165">F884</f>
        <v>9167.1</v>
      </c>
      <c r="G883" s="276">
        <f t="shared" si="165"/>
        <v>6265.4561400000002</v>
      </c>
      <c r="H883" s="143">
        <f t="shared" si="165"/>
        <v>9167.1</v>
      </c>
      <c r="I883" s="136">
        <f t="shared" si="157"/>
        <v>100</v>
      </c>
    </row>
    <row r="884" spans="1:9" s="25" customFormat="1" ht="15">
      <c r="A884" s="135" t="s">
        <v>103</v>
      </c>
      <c r="B884" s="132" t="s">
        <v>294</v>
      </c>
      <c r="C884" s="134" t="s">
        <v>69</v>
      </c>
      <c r="D884" s="134"/>
      <c r="E884" s="134"/>
      <c r="F884" s="78">
        <f t="shared" si="165"/>
        <v>9167.1</v>
      </c>
      <c r="G884" s="273">
        <f t="shared" si="165"/>
        <v>6265.4561400000002</v>
      </c>
      <c r="H884" s="78">
        <f t="shared" si="165"/>
        <v>9167.1</v>
      </c>
      <c r="I884" s="158">
        <f t="shared" si="157"/>
        <v>100</v>
      </c>
    </row>
    <row r="885" spans="1:9" s="25" customFormat="1" ht="15">
      <c r="A885" s="135" t="s">
        <v>677</v>
      </c>
      <c r="B885" s="132" t="s">
        <v>294</v>
      </c>
      <c r="C885" s="134" t="s">
        <v>69</v>
      </c>
      <c r="D885" s="134" t="s">
        <v>86</v>
      </c>
      <c r="E885" s="134"/>
      <c r="F885" s="78">
        <f>F886+F888+F890</f>
        <v>9167.1</v>
      </c>
      <c r="G885" s="273">
        <f>G886+G888+G890</f>
        <v>6265.4561400000002</v>
      </c>
      <c r="H885" s="78">
        <f>H886+H888+H890</f>
        <v>9167.1</v>
      </c>
      <c r="I885" s="158">
        <f t="shared" si="157"/>
        <v>100</v>
      </c>
    </row>
    <row r="886" spans="1:9" s="25" customFormat="1" ht="36">
      <c r="A886" s="139" t="s">
        <v>72</v>
      </c>
      <c r="B886" s="22" t="s">
        <v>294</v>
      </c>
      <c r="C886" s="22" t="s">
        <v>69</v>
      </c>
      <c r="D886" s="22" t="s">
        <v>86</v>
      </c>
      <c r="E886" s="22" t="s">
        <v>73</v>
      </c>
      <c r="F886" s="79">
        <f>F887</f>
        <v>8160</v>
      </c>
      <c r="G886" s="272">
        <f>G887</f>
        <v>6000.2560400000002</v>
      </c>
      <c r="H886" s="79">
        <f>H887</f>
        <v>8160</v>
      </c>
      <c r="I886" s="156">
        <f t="shared" si="157"/>
        <v>100</v>
      </c>
    </row>
    <row r="887" spans="1:9" s="25" customFormat="1" ht="15">
      <c r="A887" s="139" t="s">
        <v>426</v>
      </c>
      <c r="B887" s="22" t="s">
        <v>294</v>
      </c>
      <c r="C887" s="22" t="s">
        <v>69</v>
      </c>
      <c r="D887" s="22" t="s">
        <v>86</v>
      </c>
      <c r="E887" s="22" t="s">
        <v>427</v>
      </c>
      <c r="F887" s="67">
        <f>8115-30+75</f>
        <v>8160</v>
      </c>
      <c r="G887" s="280">
        <v>6000.2560400000002</v>
      </c>
      <c r="H887" s="67">
        <f>8115-30+75</f>
        <v>8160</v>
      </c>
      <c r="I887" s="156">
        <f t="shared" si="157"/>
        <v>100</v>
      </c>
    </row>
    <row r="888" spans="1:9" s="25" customFormat="1" ht="15">
      <c r="A888" s="139" t="s">
        <v>676</v>
      </c>
      <c r="B888" s="22" t="s">
        <v>294</v>
      </c>
      <c r="C888" s="22" t="s">
        <v>69</v>
      </c>
      <c r="D888" s="22" t="s">
        <v>86</v>
      </c>
      <c r="E888" s="22" t="s">
        <v>77</v>
      </c>
      <c r="F888" s="79">
        <f>F889</f>
        <v>992.1</v>
      </c>
      <c r="G888" s="272">
        <f>G889</f>
        <v>265.20010000000002</v>
      </c>
      <c r="H888" s="79">
        <f>H889</f>
        <v>992.1</v>
      </c>
      <c r="I888" s="156">
        <f t="shared" si="157"/>
        <v>100</v>
      </c>
    </row>
    <row r="889" spans="1:9" s="25" customFormat="1" ht="24">
      <c r="A889" s="139" t="s">
        <v>78</v>
      </c>
      <c r="B889" s="22" t="s">
        <v>294</v>
      </c>
      <c r="C889" s="22" t="s">
        <v>69</v>
      </c>
      <c r="D889" s="22" t="s">
        <v>86</v>
      </c>
      <c r="E889" s="22" t="s">
        <v>79</v>
      </c>
      <c r="F889" s="67">
        <f>315+330+347.1</f>
        <v>992.1</v>
      </c>
      <c r="G889" s="280">
        <v>265.20010000000002</v>
      </c>
      <c r="H889" s="67">
        <v>992.1</v>
      </c>
      <c r="I889" s="156">
        <f t="shared" si="157"/>
        <v>100</v>
      </c>
    </row>
    <row r="890" spans="1:9" s="25" customFormat="1" ht="15">
      <c r="A890" s="139" t="s">
        <v>80</v>
      </c>
      <c r="B890" s="22" t="s">
        <v>294</v>
      </c>
      <c r="C890" s="22" t="s">
        <v>69</v>
      </c>
      <c r="D890" s="22" t="s">
        <v>86</v>
      </c>
      <c r="E890" s="22" t="s">
        <v>81</v>
      </c>
      <c r="F890" s="79">
        <f>F891</f>
        <v>15</v>
      </c>
      <c r="G890" s="272">
        <f>G891</f>
        <v>0</v>
      </c>
      <c r="H890" s="79">
        <f>H891</f>
        <v>15</v>
      </c>
      <c r="I890" s="156">
        <f t="shared" si="157"/>
        <v>100</v>
      </c>
    </row>
    <row r="891" spans="1:9" s="25" customFormat="1" ht="15">
      <c r="A891" s="139" t="s">
        <v>445</v>
      </c>
      <c r="B891" s="22" t="s">
        <v>294</v>
      </c>
      <c r="C891" s="22" t="s">
        <v>69</v>
      </c>
      <c r="D891" s="22" t="s">
        <v>86</v>
      </c>
      <c r="E891" s="22" t="s">
        <v>82</v>
      </c>
      <c r="F891" s="67">
        <v>15</v>
      </c>
      <c r="G891" s="272">
        <v>0</v>
      </c>
      <c r="H891" s="67">
        <v>15</v>
      </c>
      <c r="I891" s="156">
        <f t="shared" si="157"/>
        <v>100</v>
      </c>
    </row>
    <row r="892" spans="1:9" s="25" customFormat="1" ht="40.5">
      <c r="A892" s="138" t="s">
        <v>116</v>
      </c>
      <c r="B892" s="137" t="s">
        <v>188</v>
      </c>
      <c r="C892" s="137"/>
      <c r="D892" s="137"/>
      <c r="E892" s="137"/>
      <c r="F892" s="143">
        <f t="shared" ref="F892:H895" si="166">F893</f>
        <v>4000</v>
      </c>
      <c r="G892" s="276">
        <f t="shared" si="166"/>
        <v>4000</v>
      </c>
      <c r="H892" s="143">
        <f t="shared" si="166"/>
        <v>4000</v>
      </c>
      <c r="I892" s="136">
        <f t="shared" si="157"/>
        <v>100</v>
      </c>
    </row>
    <row r="893" spans="1:9" s="25" customFormat="1" ht="15">
      <c r="A893" s="135" t="s">
        <v>103</v>
      </c>
      <c r="B893" s="132" t="s">
        <v>524</v>
      </c>
      <c r="C893" s="132" t="s">
        <v>69</v>
      </c>
      <c r="D893" s="140"/>
      <c r="E893" s="132"/>
      <c r="F893" s="78">
        <f t="shared" si="166"/>
        <v>4000</v>
      </c>
      <c r="G893" s="273">
        <f t="shared" si="166"/>
        <v>4000</v>
      </c>
      <c r="H893" s="78">
        <f t="shared" si="166"/>
        <v>4000</v>
      </c>
      <c r="I893" s="158">
        <f t="shared" si="157"/>
        <v>100</v>
      </c>
    </row>
    <row r="894" spans="1:9" s="25" customFormat="1" ht="15">
      <c r="A894" s="135" t="s">
        <v>677</v>
      </c>
      <c r="B894" s="132" t="s">
        <v>524</v>
      </c>
      <c r="C894" s="132" t="s">
        <v>69</v>
      </c>
      <c r="D894" s="132" t="s">
        <v>86</v>
      </c>
      <c r="E894" s="132"/>
      <c r="F894" s="78">
        <f t="shared" si="166"/>
        <v>4000</v>
      </c>
      <c r="G894" s="273">
        <f t="shared" si="166"/>
        <v>4000</v>
      </c>
      <c r="H894" s="78">
        <f t="shared" si="166"/>
        <v>4000</v>
      </c>
      <c r="I894" s="158">
        <f t="shared" si="157"/>
        <v>100</v>
      </c>
    </row>
    <row r="895" spans="1:9" s="25" customFormat="1" ht="15">
      <c r="A895" s="139" t="s">
        <v>80</v>
      </c>
      <c r="B895" s="22" t="s">
        <v>524</v>
      </c>
      <c r="C895" s="22" t="s">
        <v>69</v>
      </c>
      <c r="D895" s="22" t="s">
        <v>86</v>
      </c>
      <c r="E895" s="22" t="s">
        <v>81</v>
      </c>
      <c r="F895" s="79">
        <f t="shared" si="166"/>
        <v>4000</v>
      </c>
      <c r="G895" s="272">
        <f t="shared" si="166"/>
        <v>4000</v>
      </c>
      <c r="H895" s="79">
        <f t="shared" si="166"/>
        <v>4000</v>
      </c>
      <c r="I895" s="156">
        <f t="shared" ref="I895:I958" si="167">H895/F895*100</f>
        <v>100</v>
      </c>
    </row>
    <row r="896" spans="1:9" s="25" customFormat="1" ht="15">
      <c r="A896" s="139" t="s">
        <v>683</v>
      </c>
      <c r="B896" s="22" t="s">
        <v>524</v>
      </c>
      <c r="C896" s="22" t="s">
        <v>69</v>
      </c>
      <c r="D896" s="22" t="s">
        <v>86</v>
      </c>
      <c r="E896" s="22" t="s">
        <v>82</v>
      </c>
      <c r="F896" s="67">
        <v>4000</v>
      </c>
      <c r="G896" s="272">
        <v>4000</v>
      </c>
      <c r="H896" s="67">
        <v>4000</v>
      </c>
      <c r="I896" s="156">
        <f t="shared" si="167"/>
        <v>100</v>
      </c>
    </row>
    <row r="897" spans="1:9" s="25" customFormat="1" ht="27">
      <c r="A897" s="138" t="s">
        <v>115</v>
      </c>
      <c r="B897" s="137" t="s">
        <v>188</v>
      </c>
      <c r="C897" s="137"/>
      <c r="D897" s="137"/>
      <c r="E897" s="137"/>
      <c r="F897" s="136">
        <f t="shared" ref="F897:H900" si="168">F898</f>
        <v>1000</v>
      </c>
      <c r="G897" s="276">
        <f t="shared" si="168"/>
        <v>0</v>
      </c>
      <c r="H897" s="136">
        <f t="shared" si="168"/>
        <v>1000</v>
      </c>
      <c r="I897" s="136">
        <f t="shared" si="167"/>
        <v>100</v>
      </c>
    </row>
    <row r="898" spans="1:9" s="25" customFormat="1" ht="24">
      <c r="A898" s="135" t="s">
        <v>287</v>
      </c>
      <c r="B898" s="132" t="s">
        <v>543</v>
      </c>
      <c r="C898" s="132" t="s">
        <v>423</v>
      </c>
      <c r="D898" s="132"/>
      <c r="E898" s="132"/>
      <c r="F898" s="60">
        <f t="shared" si="168"/>
        <v>1000</v>
      </c>
      <c r="G898" s="273">
        <f t="shared" si="168"/>
        <v>0</v>
      </c>
      <c r="H898" s="60">
        <f t="shared" si="168"/>
        <v>1000</v>
      </c>
      <c r="I898" s="158">
        <f t="shared" si="167"/>
        <v>100</v>
      </c>
    </row>
    <row r="899" spans="1:9" s="25" customFormat="1" ht="24">
      <c r="A899" s="133" t="s">
        <v>684</v>
      </c>
      <c r="B899" s="132" t="s">
        <v>543</v>
      </c>
      <c r="C899" s="132" t="s">
        <v>423</v>
      </c>
      <c r="D899" s="132" t="s">
        <v>446</v>
      </c>
      <c r="E899" s="132"/>
      <c r="F899" s="60">
        <f t="shared" si="168"/>
        <v>1000</v>
      </c>
      <c r="G899" s="273">
        <f t="shared" si="168"/>
        <v>0</v>
      </c>
      <c r="H899" s="60">
        <f t="shared" si="168"/>
        <v>1000</v>
      </c>
      <c r="I899" s="158">
        <f t="shared" si="167"/>
        <v>100</v>
      </c>
    </row>
    <row r="900" spans="1:9" s="25" customFormat="1" ht="15">
      <c r="A900" s="131" t="s">
        <v>676</v>
      </c>
      <c r="B900" s="22" t="s">
        <v>543</v>
      </c>
      <c r="C900" s="22" t="s">
        <v>423</v>
      </c>
      <c r="D900" s="22" t="s">
        <v>446</v>
      </c>
      <c r="E900" s="22" t="s">
        <v>77</v>
      </c>
      <c r="F900" s="67">
        <f t="shared" si="168"/>
        <v>1000</v>
      </c>
      <c r="G900" s="272">
        <f t="shared" si="168"/>
        <v>0</v>
      </c>
      <c r="H900" s="67">
        <f t="shared" si="168"/>
        <v>1000</v>
      </c>
      <c r="I900" s="156">
        <f t="shared" si="167"/>
        <v>100</v>
      </c>
    </row>
    <row r="901" spans="1:9" s="25" customFormat="1" ht="24">
      <c r="A901" s="131" t="s">
        <v>78</v>
      </c>
      <c r="B901" s="22" t="s">
        <v>543</v>
      </c>
      <c r="C901" s="22" t="s">
        <v>423</v>
      </c>
      <c r="D901" s="22" t="s">
        <v>446</v>
      </c>
      <c r="E901" s="22" t="s">
        <v>79</v>
      </c>
      <c r="F901" s="67">
        <v>1000</v>
      </c>
      <c r="G901" s="272">
        <v>0</v>
      </c>
      <c r="H901" s="67">
        <v>1000</v>
      </c>
      <c r="I901" s="156">
        <f t="shared" si="167"/>
        <v>100</v>
      </c>
    </row>
    <row r="902" spans="1:9" s="25" customFormat="1" ht="15">
      <c r="A902" s="142" t="s">
        <v>40</v>
      </c>
      <c r="B902" s="137" t="s">
        <v>188</v>
      </c>
      <c r="C902" s="137"/>
      <c r="D902" s="137"/>
      <c r="E902" s="137"/>
      <c r="F902" s="136">
        <f t="shared" ref="F902:H903" si="169">F903</f>
        <v>4250</v>
      </c>
      <c r="G902" s="283">
        <f t="shared" si="169"/>
        <v>3434.7066599999998</v>
      </c>
      <c r="H902" s="136">
        <f t="shared" si="169"/>
        <v>4250</v>
      </c>
      <c r="I902" s="136">
        <f t="shared" si="167"/>
        <v>100</v>
      </c>
    </row>
    <row r="903" spans="1:9" s="25" customFormat="1" ht="24">
      <c r="A903" s="135" t="s">
        <v>287</v>
      </c>
      <c r="B903" s="132" t="s">
        <v>544</v>
      </c>
      <c r="C903" s="132" t="s">
        <v>423</v>
      </c>
      <c r="D903" s="22"/>
      <c r="E903" s="22"/>
      <c r="F903" s="60">
        <f t="shared" si="169"/>
        <v>4250</v>
      </c>
      <c r="G903" s="282">
        <f t="shared" si="169"/>
        <v>3434.7066599999998</v>
      </c>
      <c r="H903" s="60">
        <f t="shared" si="169"/>
        <v>4250</v>
      </c>
      <c r="I903" s="158">
        <f t="shared" si="167"/>
        <v>100</v>
      </c>
    </row>
    <row r="904" spans="1:9" s="25" customFormat="1" ht="24">
      <c r="A904" s="135" t="s">
        <v>425</v>
      </c>
      <c r="B904" s="132" t="s">
        <v>544</v>
      </c>
      <c r="C904" s="132" t="s">
        <v>423</v>
      </c>
      <c r="D904" s="132" t="s">
        <v>446</v>
      </c>
      <c r="E904" s="132"/>
      <c r="F904" s="60">
        <f>F905+F907+F909</f>
        <v>4250</v>
      </c>
      <c r="G904" s="282">
        <f>G905+G907+G909</f>
        <v>3434.7066599999998</v>
      </c>
      <c r="H904" s="60">
        <f>H905+H907+H909</f>
        <v>4250</v>
      </c>
      <c r="I904" s="158">
        <f t="shared" si="167"/>
        <v>100</v>
      </c>
    </row>
    <row r="905" spans="1:9" s="25" customFormat="1" ht="36">
      <c r="A905" s="139" t="s">
        <v>72</v>
      </c>
      <c r="B905" s="22" t="s">
        <v>544</v>
      </c>
      <c r="C905" s="22" t="s">
        <v>423</v>
      </c>
      <c r="D905" s="22" t="s">
        <v>446</v>
      </c>
      <c r="E905" s="22" t="s">
        <v>73</v>
      </c>
      <c r="F905" s="67">
        <f>F906</f>
        <v>3704</v>
      </c>
      <c r="G905" s="280">
        <f>G906</f>
        <v>3128.0256599999998</v>
      </c>
      <c r="H905" s="67">
        <f>H906</f>
        <v>3704</v>
      </c>
      <c r="I905" s="156">
        <f t="shared" si="167"/>
        <v>100</v>
      </c>
    </row>
    <row r="906" spans="1:9" s="25" customFormat="1" ht="15">
      <c r="A906" s="139" t="s">
        <v>426</v>
      </c>
      <c r="B906" s="22" t="s">
        <v>544</v>
      </c>
      <c r="C906" s="22" t="s">
        <v>423</v>
      </c>
      <c r="D906" s="22" t="s">
        <v>446</v>
      </c>
      <c r="E906" s="22" t="s">
        <v>427</v>
      </c>
      <c r="F906" s="67">
        <f>3624+80</f>
        <v>3704</v>
      </c>
      <c r="G906" s="280">
        <v>3128.0256599999998</v>
      </c>
      <c r="H906" s="67">
        <f>3624+80</f>
        <v>3704</v>
      </c>
      <c r="I906" s="156">
        <f t="shared" si="167"/>
        <v>100</v>
      </c>
    </row>
    <row r="907" spans="1:9" s="25" customFormat="1" ht="15">
      <c r="A907" s="139" t="s">
        <v>676</v>
      </c>
      <c r="B907" s="22" t="s">
        <v>544</v>
      </c>
      <c r="C907" s="22" t="s">
        <v>423</v>
      </c>
      <c r="D907" s="22" t="s">
        <v>446</v>
      </c>
      <c r="E907" s="22" t="s">
        <v>77</v>
      </c>
      <c r="F907" s="67">
        <f>F908</f>
        <v>533</v>
      </c>
      <c r="G907" s="280">
        <f>G908</f>
        <v>306.68099999999998</v>
      </c>
      <c r="H907" s="67">
        <f>H908</f>
        <v>533</v>
      </c>
      <c r="I907" s="156">
        <f t="shared" si="167"/>
        <v>100</v>
      </c>
    </row>
    <row r="908" spans="1:9" s="25" customFormat="1" ht="24">
      <c r="A908" s="139" t="s">
        <v>78</v>
      </c>
      <c r="B908" s="22" t="s">
        <v>544</v>
      </c>
      <c r="C908" s="22" t="s">
        <v>423</v>
      </c>
      <c r="D908" s="22" t="s">
        <v>446</v>
      </c>
      <c r="E908" s="22" t="s">
        <v>79</v>
      </c>
      <c r="F908" s="67">
        <f>613-80</f>
        <v>533</v>
      </c>
      <c r="G908" s="280">
        <v>306.68099999999998</v>
      </c>
      <c r="H908" s="67">
        <v>533</v>
      </c>
      <c r="I908" s="156">
        <f t="shared" si="167"/>
        <v>100</v>
      </c>
    </row>
    <row r="909" spans="1:9" s="25" customFormat="1" ht="15">
      <c r="A909" s="139" t="s">
        <v>80</v>
      </c>
      <c r="B909" s="22" t="s">
        <v>544</v>
      </c>
      <c r="C909" s="22" t="s">
        <v>423</v>
      </c>
      <c r="D909" s="22" t="s">
        <v>446</v>
      </c>
      <c r="E909" s="22" t="s">
        <v>81</v>
      </c>
      <c r="F909" s="67">
        <f>F910</f>
        <v>13</v>
      </c>
      <c r="G909" s="272">
        <f>G910</f>
        <v>0</v>
      </c>
      <c r="H909" s="67">
        <f>H910</f>
        <v>13</v>
      </c>
      <c r="I909" s="156">
        <f t="shared" si="167"/>
        <v>100</v>
      </c>
    </row>
    <row r="910" spans="1:9" s="25" customFormat="1" ht="15">
      <c r="A910" s="139" t="s">
        <v>683</v>
      </c>
      <c r="B910" s="22" t="s">
        <v>544</v>
      </c>
      <c r="C910" s="22" t="s">
        <v>423</v>
      </c>
      <c r="D910" s="22" t="s">
        <v>446</v>
      </c>
      <c r="E910" s="22" t="s">
        <v>82</v>
      </c>
      <c r="F910" s="67">
        <v>13</v>
      </c>
      <c r="G910" s="272">
        <v>0</v>
      </c>
      <c r="H910" s="67">
        <v>13</v>
      </c>
      <c r="I910" s="156">
        <f t="shared" si="167"/>
        <v>100</v>
      </c>
    </row>
    <row r="911" spans="1:9" s="25" customFormat="1" ht="15">
      <c r="A911" s="138" t="s">
        <v>723</v>
      </c>
      <c r="B911" s="137" t="s">
        <v>188</v>
      </c>
      <c r="C911" s="137"/>
      <c r="D911" s="137"/>
      <c r="E911" s="137"/>
      <c r="F911" s="136">
        <f t="shared" ref="F911:H914" si="170">F912</f>
        <v>6000</v>
      </c>
      <c r="G911" s="276">
        <f t="shared" si="170"/>
        <v>0</v>
      </c>
      <c r="H911" s="136">
        <f t="shared" si="170"/>
        <v>6000</v>
      </c>
      <c r="I911" s="136">
        <f t="shared" si="167"/>
        <v>100</v>
      </c>
    </row>
    <row r="912" spans="1:9" s="25" customFormat="1" ht="15">
      <c r="A912" s="135" t="s">
        <v>321</v>
      </c>
      <c r="B912" s="132" t="s">
        <v>475</v>
      </c>
      <c r="C912" s="132" t="s">
        <v>71</v>
      </c>
      <c r="D912" s="144"/>
      <c r="E912" s="132"/>
      <c r="F912" s="60">
        <f t="shared" si="170"/>
        <v>6000</v>
      </c>
      <c r="G912" s="273">
        <f t="shared" si="170"/>
        <v>0</v>
      </c>
      <c r="H912" s="60">
        <f t="shared" si="170"/>
        <v>6000</v>
      </c>
      <c r="I912" s="158">
        <f t="shared" si="167"/>
        <v>100</v>
      </c>
    </row>
    <row r="913" spans="1:9" s="25" customFormat="1" ht="15">
      <c r="A913" s="135" t="s">
        <v>359</v>
      </c>
      <c r="B913" s="132" t="s">
        <v>475</v>
      </c>
      <c r="C913" s="132" t="s">
        <v>71</v>
      </c>
      <c r="D913" s="132" t="s">
        <v>429</v>
      </c>
      <c r="E913" s="132"/>
      <c r="F913" s="60">
        <f t="shared" si="170"/>
        <v>6000</v>
      </c>
      <c r="G913" s="273">
        <f t="shared" si="170"/>
        <v>0</v>
      </c>
      <c r="H913" s="60">
        <f t="shared" si="170"/>
        <v>6000</v>
      </c>
      <c r="I913" s="158">
        <f t="shared" si="167"/>
        <v>100</v>
      </c>
    </row>
    <row r="914" spans="1:9" s="25" customFormat="1" ht="15">
      <c r="A914" s="131" t="s">
        <v>676</v>
      </c>
      <c r="B914" s="22" t="s">
        <v>475</v>
      </c>
      <c r="C914" s="22" t="s">
        <v>71</v>
      </c>
      <c r="D914" s="22" t="s">
        <v>429</v>
      </c>
      <c r="E914" s="145">
        <v>200</v>
      </c>
      <c r="F914" s="67">
        <f t="shared" si="170"/>
        <v>6000</v>
      </c>
      <c r="G914" s="272">
        <f t="shared" si="170"/>
        <v>0</v>
      </c>
      <c r="H914" s="67">
        <f t="shared" si="170"/>
        <v>6000</v>
      </c>
      <c r="I914" s="156">
        <f t="shared" si="167"/>
        <v>100</v>
      </c>
    </row>
    <row r="915" spans="1:9" s="25" customFormat="1" ht="24">
      <c r="A915" s="131" t="s">
        <v>78</v>
      </c>
      <c r="B915" s="22" t="s">
        <v>475</v>
      </c>
      <c r="C915" s="22" t="s">
        <v>71</v>
      </c>
      <c r="D915" s="22" t="s">
        <v>429</v>
      </c>
      <c r="E915" s="22" t="s">
        <v>79</v>
      </c>
      <c r="F915" s="79">
        <v>6000</v>
      </c>
      <c r="G915" s="272">
        <v>0</v>
      </c>
      <c r="H915" s="79">
        <f>1000+5000</f>
        <v>6000</v>
      </c>
      <c r="I915" s="156">
        <f t="shared" si="167"/>
        <v>100</v>
      </c>
    </row>
    <row r="916" spans="1:9" s="25" customFormat="1" ht="27">
      <c r="A916" s="142" t="s">
        <v>355</v>
      </c>
      <c r="B916" s="137" t="s">
        <v>188</v>
      </c>
      <c r="C916" s="137"/>
      <c r="D916" s="137"/>
      <c r="E916" s="137"/>
      <c r="F916" s="136">
        <f t="shared" ref="F916:H919" si="171">F917</f>
        <v>22372.899290000001</v>
      </c>
      <c r="G916" s="283">
        <f t="shared" si="171"/>
        <v>18170.515579999999</v>
      </c>
      <c r="H916" s="136">
        <f t="shared" si="171"/>
        <v>22372.899290000001</v>
      </c>
      <c r="I916" s="136">
        <f t="shared" si="167"/>
        <v>100</v>
      </c>
    </row>
    <row r="917" spans="1:9" s="25" customFormat="1" ht="15">
      <c r="A917" s="135" t="s">
        <v>360</v>
      </c>
      <c r="B917" s="132" t="s">
        <v>519</v>
      </c>
      <c r="C917" s="132" t="s">
        <v>446</v>
      </c>
      <c r="D917" s="132"/>
      <c r="E917" s="132"/>
      <c r="F917" s="60">
        <f t="shared" si="171"/>
        <v>22372.899290000001</v>
      </c>
      <c r="G917" s="282">
        <f t="shared" si="171"/>
        <v>18170.515579999999</v>
      </c>
      <c r="H917" s="60">
        <f t="shared" si="171"/>
        <v>22372.899290000001</v>
      </c>
      <c r="I917" s="158">
        <f t="shared" si="167"/>
        <v>100</v>
      </c>
    </row>
    <row r="918" spans="1:9" s="25" customFormat="1" ht="15">
      <c r="A918" s="135" t="s">
        <v>344</v>
      </c>
      <c r="B918" s="132" t="s">
        <v>519</v>
      </c>
      <c r="C918" s="132" t="s">
        <v>446</v>
      </c>
      <c r="D918" s="132" t="s">
        <v>69</v>
      </c>
      <c r="E918" s="132"/>
      <c r="F918" s="60">
        <f t="shared" si="171"/>
        <v>22372.899290000001</v>
      </c>
      <c r="G918" s="282">
        <f t="shared" si="171"/>
        <v>18170.515579999999</v>
      </c>
      <c r="H918" s="60">
        <f t="shared" si="171"/>
        <v>22372.899290000001</v>
      </c>
      <c r="I918" s="158">
        <f t="shared" si="167"/>
        <v>100</v>
      </c>
    </row>
    <row r="919" spans="1:9" s="25" customFormat="1" ht="15">
      <c r="A919" s="139" t="s">
        <v>88</v>
      </c>
      <c r="B919" s="22" t="s">
        <v>519</v>
      </c>
      <c r="C919" s="22" t="s">
        <v>446</v>
      </c>
      <c r="D919" s="22" t="s">
        <v>69</v>
      </c>
      <c r="E919" s="22" t="s">
        <v>87</v>
      </c>
      <c r="F919" s="67">
        <f t="shared" si="171"/>
        <v>22372.899290000001</v>
      </c>
      <c r="G919" s="280">
        <f t="shared" si="171"/>
        <v>18170.515579999999</v>
      </c>
      <c r="H919" s="67">
        <f t="shared" si="171"/>
        <v>22372.899290000001</v>
      </c>
      <c r="I919" s="156">
        <f t="shared" si="167"/>
        <v>100</v>
      </c>
    </row>
    <row r="920" spans="1:9" s="25" customFormat="1" ht="15">
      <c r="A920" s="139" t="s">
        <v>138</v>
      </c>
      <c r="B920" s="22" t="s">
        <v>519</v>
      </c>
      <c r="C920" s="22" t="s">
        <v>446</v>
      </c>
      <c r="D920" s="22" t="s">
        <v>69</v>
      </c>
      <c r="E920" s="22" t="s">
        <v>449</v>
      </c>
      <c r="F920" s="67">
        <f>19400+2972.89929</f>
        <v>22372.899290000001</v>
      </c>
      <c r="G920" s="280">
        <v>18170.515579999999</v>
      </c>
      <c r="H920" s="67">
        <v>22372.899290000001</v>
      </c>
      <c r="I920" s="156">
        <f t="shared" si="167"/>
        <v>100</v>
      </c>
    </row>
    <row r="921" spans="1:9" s="25" customFormat="1" ht="27">
      <c r="A921" s="142" t="s">
        <v>476</v>
      </c>
      <c r="B921" s="137" t="s">
        <v>188</v>
      </c>
      <c r="C921" s="137"/>
      <c r="D921" s="137"/>
      <c r="E921" s="137"/>
      <c r="F921" s="136">
        <f t="shared" ref="F921:H924" si="172">F922</f>
        <v>20000</v>
      </c>
      <c r="G921" s="276">
        <f t="shared" si="172"/>
        <v>0</v>
      </c>
      <c r="H921" s="136">
        <f t="shared" si="172"/>
        <v>20000</v>
      </c>
      <c r="I921" s="136">
        <f t="shared" si="167"/>
        <v>100</v>
      </c>
    </row>
    <row r="922" spans="1:9" s="25" customFormat="1" ht="15">
      <c r="A922" s="135" t="s">
        <v>360</v>
      </c>
      <c r="B922" s="59" t="s">
        <v>564</v>
      </c>
      <c r="C922" s="132" t="s">
        <v>446</v>
      </c>
      <c r="D922" s="132"/>
      <c r="E922" s="132"/>
      <c r="F922" s="60">
        <f t="shared" si="172"/>
        <v>20000</v>
      </c>
      <c r="G922" s="273">
        <f t="shared" si="172"/>
        <v>0</v>
      </c>
      <c r="H922" s="60">
        <f t="shared" si="172"/>
        <v>20000</v>
      </c>
      <c r="I922" s="158">
        <f t="shared" si="167"/>
        <v>100</v>
      </c>
    </row>
    <row r="923" spans="1:9" s="25" customFormat="1" ht="15">
      <c r="A923" s="135" t="s">
        <v>349</v>
      </c>
      <c r="B923" s="59" t="s">
        <v>564</v>
      </c>
      <c r="C923" s="132" t="s">
        <v>446</v>
      </c>
      <c r="D923" s="132" t="s">
        <v>423</v>
      </c>
      <c r="E923" s="132"/>
      <c r="F923" s="60">
        <f t="shared" si="172"/>
        <v>20000</v>
      </c>
      <c r="G923" s="273">
        <f t="shared" si="172"/>
        <v>0</v>
      </c>
      <c r="H923" s="60">
        <f t="shared" si="172"/>
        <v>20000</v>
      </c>
      <c r="I923" s="158">
        <f t="shared" si="167"/>
        <v>100</v>
      </c>
    </row>
    <row r="924" spans="1:9" s="25" customFormat="1" ht="15">
      <c r="A924" s="65" t="s">
        <v>88</v>
      </c>
      <c r="B924" s="66" t="s">
        <v>564</v>
      </c>
      <c r="C924" s="66" t="s">
        <v>446</v>
      </c>
      <c r="D924" s="66" t="s">
        <v>423</v>
      </c>
      <c r="E924" s="66" t="s">
        <v>87</v>
      </c>
      <c r="F924" s="67">
        <f t="shared" si="172"/>
        <v>20000</v>
      </c>
      <c r="G924" s="272">
        <f t="shared" si="172"/>
        <v>0</v>
      </c>
      <c r="H924" s="67">
        <f t="shared" si="172"/>
        <v>20000</v>
      </c>
      <c r="I924" s="156">
        <f t="shared" si="167"/>
        <v>100</v>
      </c>
    </row>
    <row r="925" spans="1:9" s="25" customFormat="1" ht="15">
      <c r="A925" s="65" t="s">
        <v>89</v>
      </c>
      <c r="B925" s="66" t="s">
        <v>564</v>
      </c>
      <c r="C925" s="66" t="s">
        <v>446</v>
      </c>
      <c r="D925" s="66" t="s">
        <v>423</v>
      </c>
      <c r="E925" s="66" t="s">
        <v>90</v>
      </c>
      <c r="F925" s="67">
        <v>20000</v>
      </c>
      <c r="G925" s="272">
        <v>0</v>
      </c>
      <c r="H925" s="67">
        <v>20000</v>
      </c>
      <c r="I925" s="156">
        <f t="shared" si="167"/>
        <v>100</v>
      </c>
    </row>
    <row r="926" spans="1:9" s="25" customFormat="1" ht="15">
      <c r="A926" s="142" t="s">
        <v>286</v>
      </c>
      <c r="B926" s="137" t="s">
        <v>188</v>
      </c>
      <c r="C926" s="137"/>
      <c r="D926" s="137"/>
      <c r="E926" s="137"/>
      <c r="F926" s="155">
        <f t="shared" ref="F926:H928" si="173">F927</f>
        <v>5938.7317299999995</v>
      </c>
      <c r="G926" s="285">
        <f t="shared" si="173"/>
        <v>3924.5318200000002</v>
      </c>
      <c r="H926" s="155">
        <f t="shared" si="173"/>
        <v>5938.7317299999995</v>
      </c>
      <c r="I926" s="136">
        <f t="shared" si="167"/>
        <v>100</v>
      </c>
    </row>
    <row r="927" spans="1:9" s="25" customFormat="1" ht="15">
      <c r="A927" s="135" t="s">
        <v>103</v>
      </c>
      <c r="B927" s="132" t="s">
        <v>525</v>
      </c>
      <c r="C927" s="132" t="s">
        <v>69</v>
      </c>
      <c r="D927" s="140"/>
      <c r="E927" s="22"/>
      <c r="F927" s="60">
        <f t="shared" si="173"/>
        <v>5938.7317299999995</v>
      </c>
      <c r="G927" s="282">
        <f t="shared" si="173"/>
        <v>3924.5318200000002</v>
      </c>
      <c r="H927" s="60">
        <f t="shared" si="173"/>
        <v>5938.7317299999995</v>
      </c>
      <c r="I927" s="158">
        <f t="shared" si="167"/>
        <v>100</v>
      </c>
    </row>
    <row r="928" spans="1:9" s="25" customFormat="1" ht="15">
      <c r="A928" s="135" t="s">
        <v>677</v>
      </c>
      <c r="B928" s="132" t="s">
        <v>525</v>
      </c>
      <c r="C928" s="132" t="s">
        <v>69</v>
      </c>
      <c r="D928" s="132" t="s">
        <v>86</v>
      </c>
      <c r="E928" s="132"/>
      <c r="F928" s="60">
        <f t="shared" si="173"/>
        <v>5938.7317299999995</v>
      </c>
      <c r="G928" s="282">
        <f t="shared" si="173"/>
        <v>3924.5318200000002</v>
      </c>
      <c r="H928" s="60">
        <f t="shared" si="173"/>
        <v>5938.7317299999995</v>
      </c>
      <c r="I928" s="158">
        <f t="shared" si="167"/>
        <v>100</v>
      </c>
    </row>
    <row r="929" spans="1:9" s="25" customFormat="1" ht="15">
      <c r="A929" s="139" t="s">
        <v>80</v>
      </c>
      <c r="B929" s="22" t="s">
        <v>525</v>
      </c>
      <c r="C929" s="22" t="s">
        <v>69</v>
      </c>
      <c r="D929" s="22" t="s">
        <v>86</v>
      </c>
      <c r="E929" s="22" t="s">
        <v>81</v>
      </c>
      <c r="F929" s="67">
        <f>F930+F931</f>
        <v>5938.7317299999995</v>
      </c>
      <c r="G929" s="280">
        <f>G930+G931</f>
        <v>3924.5318200000002</v>
      </c>
      <c r="H929" s="67">
        <f>H930+H931</f>
        <v>5938.7317299999995</v>
      </c>
      <c r="I929" s="156">
        <f t="shared" si="167"/>
        <v>100</v>
      </c>
    </row>
    <row r="930" spans="1:9" s="25" customFormat="1" ht="15">
      <c r="A930" s="139" t="s">
        <v>133</v>
      </c>
      <c r="B930" s="22" t="s">
        <v>525</v>
      </c>
      <c r="C930" s="22" t="s">
        <v>69</v>
      </c>
      <c r="D930" s="22" t="s">
        <v>86</v>
      </c>
      <c r="E930" s="22" t="s">
        <v>136</v>
      </c>
      <c r="F930" s="67">
        <v>5412.1597599999996</v>
      </c>
      <c r="G930" s="280">
        <v>3497.9598500000002</v>
      </c>
      <c r="H930" s="67">
        <v>5412.1597599999996</v>
      </c>
      <c r="I930" s="156">
        <f t="shared" si="167"/>
        <v>100</v>
      </c>
    </row>
    <row r="931" spans="1:9" s="25" customFormat="1" ht="15">
      <c r="A931" s="139" t="s">
        <v>683</v>
      </c>
      <c r="B931" s="22" t="s">
        <v>525</v>
      </c>
      <c r="C931" s="22" t="s">
        <v>69</v>
      </c>
      <c r="D931" s="22" t="s">
        <v>86</v>
      </c>
      <c r="E931" s="22" t="s">
        <v>82</v>
      </c>
      <c r="F931" s="67">
        <v>526.57196999999996</v>
      </c>
      <c r="G931" s="280">
        <v>426.57197000000002</v>
      </c>
      <c r="H931" s="67">
        <v>526.57196999999996</v>
      </c>
      <c r="I931" s="156">
        <f t="shared" si="167"/>
        <v>100</v>
      </c>
    </row>
    <row r="932" spans="1:9" s="25" customFormat="1" ht="27">
      <c r="A932" s="142" t="s">
        <v>45</v>
      </c>
      <c r="B932" s="137" t="s">
        <v>188</v>
      </c>
      <c r="C932" s="137"/>
      <c r="D932" s="137"/>
      <c r="E932" s="137"/>
      <c r="F932" s="155">
        <f t="shared" ref="F932:H935" si="174">F933</f>
        <v>8888</v>
      </c>
      <c r="G932" s="285">
        <f t="shared" si="174"/>
        <v>8093.19632</v>
      </c>
      <c r="H932" s="155">
        <f t="shared" si="174"/>
        <v>8888</v>
      </c>
      <c r="I932" s="136">
        <f t="shared" si="167"/>
        <v>100</v>
      </c>
    </row>
    <row r="933" spans="1:9" s="25" customFormat="1" ht="15">
      <c r="A933" s="135" t="s">
        <v>354</v>
      </c>
      <c r="B933" s="132" t="s">
        <v>437</v>
      </c>
      <c r="C933" s="132" t="s">
        <v>429</v>
      </c>
      <c r="D933" s="22"/>
      <c r="E933" s="22"/>
      <c r="F933" s="60">
        <f t="shared" si="174"/>
        <v>8888</v>
      </c>
      <c r="G933" s="282">
        <f t="shared" si="174"/>
        <v>8093.19632</v>
      </c>
      <c r="H933" s="60">
        <f t="shared" si="174"/>
        <v>8888</v>
      </c>
      <c r="I933" s="158">
        <f t="shared" si="167"/>
        <v>100</v>
      </c>
    </row>
    <row r="934" spans="1:9" s="25" customFormat="1" ht="15">
      <c r="A934" s="135" t="s">
        <v>343</v>
      </c>
      <c r="B934" s="132" t="s">
        <v>437</v>
      </c>
      <c r="C934" s="132" t="s">
        <v>429</v>
      </c>
      <c r="D934" s="132" t="s">
        <v>431</v>
      </c>
      <c r="E934" s="22"/>
      <c r="F934" s="78">
        <f t="shared" si="174"/>
        <v>8888</v>
      </c>
      <c r="G934" s="273">
        <f t="shared" si="174"/>
        <v>8093.19632</v>
      </c>
      <c r="H934" s="78">
        <f t="shared" si="174"/>
        <v>8888</v>
      </c>
      <c r="I934" s="158">
        <f t="shared" si="167"/>
        <v>100</v>
      </c>
    </row>
    <row r="935" spans="1:9" s="25" customFormat="1" ht="24">
      <c r="A935" s="139" t="s">
        <v>94</v>
      </c>
      <c r="B935" s="22" t="s">
        <v>437</v>
      </c>
      <c r="C935" s="22" t="s">
        <v>429</v>
      </c>
      <c r="D935" s="22" t="s">
        <v>431</v>
      </c>
      <c r="E935" s="22" t="s">
        <v>362</v>
      </c>
      <c r="F935" s="79">
        <f t="shared" si="174"/>
        <v>8888</v>
      </c>
      <c r="G935" s="272">
        <f t="shared" si="174"/>
        <v>8093.19632</v>
      </c>
      <c r="H935" s="79">
        <f t="shared" si="174"/>
        <v>8888</v>
      </c>
      <c r="I935" s="156">
        <f t="shared" si="167"/>
        <v>100</v>
      </c>
    </row>
    <row r="936" spans="1:9" s="25" customFormat="1" ht="15">
      <c r="A936" s="139" t="s">
        <v>95</v>
      </c>
      <c r="B936" s="22" t="s">
        <v>437</v>
      </c>
      <c r="C936" s="22" t="s">
        <v>429</v>
      </c>
      <c r="D936" s="22" t="s">
        <v>431</v>
      </c>
      <c r="E936" s="22" t="s">
        <v>371</v>
      </c>
      <c r="F936" s="79">
        <v>8888</v>
      </c>
      <c r="G936" s="272">
        <v>8093.19632</v>
      </c>
      <c r="H936" s="79">
        <v>8888</v>
      </c>
      <c r="I936" s="156">
        <f t="shared" si="167"/>
        <v>100</v>
      </c>
    </row>
    <row r="937" spans="1:9" s="25" customFormat="1" ht="15">
      <c r="A937" s="142" t="s">
        <v>502</v>
      </c>
      <c r="B937" s="137" t="s">
        <v>188</v>
      </c>
      <c r="C937" s="137"/>
      <c r="D937" s="137"/>
      <c r="E937" s="137"/>
      <c r="F937" s="154">
        <f t="shared" ref="F937:H940" si="175">F938</f>
        <v>8000</v>
      </c>
      <c r="G937" s="274">
        <f t="shared" si="175"/>
        <v>5122.1803799999998</v>
      </c>
      <c r="H937" s="154">
        <f t="shared" si="175"/>
        <v>7000</v>
      </c>
      <c r="I937" s="136">
        <f t="shared" si="167"/>
        <v>87.5</v>
      </c>
    </row>
    <row r="938" spans="1:9" s="25" customFormat="1" ht="15">
      <c r="A938" s="135" t="s">
        <v>333</v>
      </c>
      <c r="B938" s="132" t="s">
        <v>310</v>
      </c>
      <c r="C938" s="132" t="s">
        <v>376</v>
      </c>
      <c r="D938" s="132"/>
      <c r="E938" s="132"/>
      <c r="F938" s="78">
        <f t="shared" si="175"/>
        <v>8000</v>
      </c>
      <c r="G938" s="273">
        <f t="shared" si="175"/>
        <v>5122.1803799999998</v>
      </c>
      <c r="H938" s="78">
        <f t="shared" si="175"/>
        <v>7000</v>
      </c>
      <c r="I938" s="158">
        <f t="shared" si="167"/>
        <v>87.5</v>
      </c>
    </row>
    <row r="939" spans="1:9" s="25" customFormat="1" ht="15">
      <c r="A939" s="135" t="s">
        <v>336</v>
      </c>
      <c r="B939" s="132" t="s">
        <v>310</v>
      </c>
      <c r="C939" s="132" t="s">
        <v>376</v>
      </c>
      <c r="D939" s="132" t="s">
        <v>423</v>
      </c>
      <c r="E939" s="132"/>
      <c r="F939" s="78">
        <f t="shared" si="175"/>
        <v>8000</v>
      </c>
      <c r="G939" s="273">
        <f t="shared" si="175"/>
        <v>5122.1803799999998</v>
      </c>
      <c r="H939" s="78">
        <f t="shared" si="175"/>
        <v>7000</v>
      </c>
      <c r="I939" s="158">
        <f t="shared" si="167"/>
        <v>87.5</v>
      </c>
    </row>
    <row r="940" spans="1:9" s="25" customFormat="1" ht="15">
      <c r="A940" s="139" t="s">
        <v>676</v>
      </c>
      <c r="B940" s="22" t="s">
        <v>310</v>
      </c>
      <c r="C940" s="66" t="s">
        <v>376</v>
      </c>
      <c r="D940" s="66" t="s">
        <v>423</v>
      </c>
      <c r="E940" s="66" t="s">
        <v>77</v>
      </c>
      <c r="F940" s="79">
        <f t="shared" si="175"/>
        <v>8000</v>
      </c>
      <c r="G940" s="272">
        <f t="shared" si="175"/>
        <v>5122.1803799999998</v>
      </c>
      <c r="H940" s="79">
        <f t="shared" si="175"/>
        <v>7000</v>
      </c>
      <c r="I940" s="156">
        <f t="shared" si="167"/>
        <v>87.5</v>
      </c>
    </row>
    <row r="941" spans="1:9" s="25" customFormat="1" ht="24">
      <c r="A941" s="139" t="s">
        <v>78</v>
      </c>
      <c r="B941" s="22" t="s">
        <v>310</v>
      </c>
      <c r="C941" s="66" t="s">
        <v>376</v>
      </c>
      <c r="D941" s="66" t="s">
        <v>423</v>
      </c>
      <c r="E941" s="66" t="s">
        <v>79</v>
      </c>
      <c r="F941" s="79">
        <v>8000</v>
      </c>
      <c r="G941" s="272">
        <v>5122.1803799999998</v>
      </c>
      <c r="H941" s="79">
        <f>5000+3000-1000</f>
        <v>7000</v>
      </c>
      <c r="I941" s="156">
        <f t="shared" si="167"/>
        <v>87.5</v>
      </c>
    </row>
    <row r="942" spans="1:9" s="25" customFormat="1" ht="15">
      <c r="A942" s="142" t="s">
        <v>682</v>
      </c>
      <c r="B942" s="137" t="s">
        <v>188</v>
      </c>
      <c r="C942" s="137"/>
      <c r="D942" s="137"/>
      <c r="E942" s="137"/>
      <c r="F942" s="143">
        <f t="shared" ref="F942:H943" si="176">F943</f>
        <v>750</v>
      </c>
      <c r="G942" s="276">
        <f t="shared" si="176"/>
        <v>532.22361999999998</v>
      </c>
      <c r="H942" s="143">
        <f t="shared" si="176"/>
        <v>750</v>
      </c>
      <c r="I942" s="136">
        <f t="shared" si="167"/>
        <v>100</v>
      </c>
    </row>
    <row r="943" spans="1:9" s="25" customFormat="1" ht="15">
      <c r="A943" s="135" t="s">
        <v>338</v>
      </c>
      <c r="B943" s="132" t="s">
        <v>477</v>
      </c>
      <c r="C943" s="132" t="s">
        <v>430</v>
      </c>
      <c r="D943" s="132"/>
      <c r="E943" s="153"/>
      <c r="F943" s="60">
        <f t="shared" si="176"/>
        <v>750</v>
      </c>
      <c r="G943" s="282">
        <f t="shared" si="176"/>
        <v>532.22361999999998</v>
      </c>
      <c r="H943" s="60">
        <f t="shared" si="176"/>
        <v>750</v>
      </c>
      <c r="I943" s="158">
        <f t="shared" si="167"/>
        <v>100</v>
      </c>
    </row>
    <row r="944" spans="1:9" s="25" customFormat="1" ht="15">
      <c r="A944" s="152" t="s">
        <v>681</v>
      </c>
      <c r="B944" s="132" t="s">
        <v>477</v>
      </c>
      <c r="C944" s="132" t="s">
        <v>430</v>
      </c>
      <c r="D944" s="132" t="s">
        <v>430</v>
      </c>
      <c r="E944" s="132"/>
      <c r="F944" s="60">
        <f>F945+F947</f>
        <v>750</v>
      </c>
      <c r="G944" s="282">
        <f>G945+G947</f>
        <v>532.22361999999998</v>
      </c>
      <c r="H944" s="60">
        <f>H945+H947</f>
        <v>750</v>
      </c>
      <c r="I944" s="158">
        <f t="shared" si="167"/>
        <v>100</v>
      </c>
    </row>
    <row r="945" spans="1:9" s="25" customFormat="1" ht="15">
      <c r="A945" s="139" t="s">
        <v>676</v>
      </c>
      <c r="B945" s="22" t="s">
        <v>477</v>
      </c>
      <c r="C945" s="22" t="s">
        <v>430</v>
      </c>
      <c r="D945" s="22" t="s">
        <v>430</v>
      </c>
      <c r="E945" s="22" t="s">
        <v>77</v>
      </c>
      <c r="F945" s="67">
        <f>F946</f>
        <v>165</v>
      </c>
      <c r="G945" s="280">
        <f>G946</f>
        <v>25.8338</v>
      </c>
      <c r="H945" s="67">
        <f>H946</f>
        <v>165</v>
      </c>
      <c r="I945" s="156">
        <f t="shared" si="167"/>
        <v>100</v>
      </c>
    </row>
    <row r="946" spans="1:9" s="25" customFormat="1" ht="24">
      <c r="A946" s="139" t="s">
        <v>78</v>
      </c>
      <c r="B946" s="22" t="s">
        <v>477</v>
      </c>
      <c r="C946" s="22" t="s">
        <v>430</v>
      </c>
      <c r="D946" s="22" t="s">
        <v>430</v>
      </c>
      <c r="E946" s="22" t="s">
        <v>79</v>
      </c>
      <c r="F946" s="67">
        <f>750-585</f>
        <v>165</v>
      </c>
      <c r="G946" s="280">
        <v>25.8338</v>
      </c>
      <c r="H946" s="67">
        <v>165</v>
      </c>
      <c r="I946" s="156">
        <f t="shared" si="167"/>
        <v>100</v>
      </c>
    </row>
    <row r="947" spans="1:9" s="25" customFormat="1" ht="24">
      <c r="A947" s="139" t="s">
        <v>94</v>
      </c>
      <c r="B947" s="22" t="s">
        <v>477</v>
      </c>
      <c r="C947" s="22" t="s">
        <v>430</v>
      </c>
      <c r="D947" s="22" t="s">
        <v>430</v>
      </c>
      <c r="E947" s="22" t="s">
        <v>362</v>
      </c>
      <c r="F947" s="67">
        <f>F948</f>
        <v>585</v>
      </c>
      <c r="G947" s="272">
        <f>G948</f>
        <v>506.38981999999999</v>
      </c>
      <c r="H947" s="67">
        <f>H948</f>
        <v>585</v>
      </c>
      <c r="I947" s="156">
        <f t="shared" si="167"/>
        <v>100</v>
      </c>
    </row>
    <row r="948" spans="1:9" s="25" customFormat="1" ht="15">
      <c r="A948" s="139" t="s">
        <v>95</v>
      </c>
      <c r="B948" s="22" t="s">
        <v>477</v>
      </c>
      <c r="C948" s="22" t="s">
        <v>430</v>
      </c>
      <c r="D948" s="22" t="s">
        <v>430</v>
      </c>
      <c r="E948" s="22" t="s">
        <v>371</v>
      </c>
      <c r="F948" s="67">
        <v>585</v>
      </c>
      <c r="G948" s="272">
        <v>506.38981999999999</v>
      </c>
      <c r="H948" s="67">
        <v>585</v>
      </c>
      <c r="I948" s="156">
        <f t="shared" si="167"/>
        <v>100</v>
      </c>
    </row>
    <row r="949" spans="1:9" s="25" customFormat="1" ht="15">
      <c r="A949" s="138" t="s">
        <v>679</v>
      </c>
      <c r="B949" s="137" t="s">
        <v>187</v>
      </c>
      <c r="C949" s="137"/>
      <c r="D949" s="137"/>
      <c r="E949" s="137"/>
      <c r="F949" s="136">
        <f t="shared" ref="F949:H953" si="177">F950</f>
        <v>45483.034</v>
      </c>
      <c r="G949" s="283">
        <f t="shared" si="177"/>
        <v>17716.626469999999</v>
      </c>
      <c r="H949" s="136">
        <f t="shared" si="177"/>
        <v>43883.034</v>
      </c>
      <c r="I949" s="136">
        <f t="shared" si="167"/>
        <v>96.482204771124103</v>
      </c>
    </row>
    <row r="950" spans="1:9" s="25" customFormat="1" ht="15">
      <c r="A950" s="133" t="s">
        <v>680</v>
      </c>
      <c r="B950" s="132" t="s">
        <v>654</v>
      </c>
      <c r="C950" s="132" t="s">
        <v>86</v>
      </c>
      <c r="D950" s="132"/>
      <c r="E950" s="132"/>
      <c r="F950" s="60">
        <f t="shared" si="177"/>
        <v>45483.034</v>
      </c>
      <c r="G950" s="282">
        <f t="shared" si="177"/>
        <v>17716.626469999999</v>
      </c>
      <c r="H950" s="60">
        <f t="shared" si="177"/>
        <v>43883.034</v>
      </c>
      <c r="I950" s="158">
        <f t="shared" si="167"/>
        <v>96.482204771124103</v>
      </c>
    </row>
    <row r="951" spans="1:9" s="25" customFormat="1" ht="15.75">
      <c r="A951" s="133" t="s">
        <v>679</v>
      </c>
      <c r="B951" s="132" t="s">
        <v>654</v>
      </c>
      <c r="C951" s="132" t="s">
        <v>86</v>
      </c>
      <c r="D951" s="132" t="s">
        <v>69</v>
      </c>
      <c r="E951" s="151"/>
      <c r="F951" s="60">
        <f t="shared" si="177"/>
        <v>45483.034</v>
      </c>
      <c r="G951" s="282">
        <f t="shared" si="177"/>
        <v>17716.626469999999</v>
      </c>
      <c r="H951" s="60">
        <f t="shared" si="177"/>
        <v>43883.034</v>
      </c>
      <c r="I951" s="158">
        <f t="shared" si="167"/>
        <v>96.482204771124103</v>
      </c>
    </row>
    <row r="952" spans="1:9" s="25" customFormat="1" ht="15">
      <c r="A952" s="150" t="s">
        <v>283</v>
      </c>
      <c r="B952" s="149" t="s">
        <v>654</v>
      </c>
      <c r="C952" s="148" t="s">
        <v>86</v>
      </c>
      <c r="D952" s="148" t="s">
        <v>69</v>
      </c>
      <c r="E952" s="148"/>
      <c r="F952" s="88">
        <f t="shared" si="177"/>
        <v>45483.034</v>
      </c>
      <c r="G952" s="284">
        <f t="shared" si="177"/>
        <v>17716.626469999999</v>
      </c>
      <c r="H952" s="88">
        <f t="shared" si="177"/>
        <v>43883.034</v>
      </c>
      <c r="I952" s="178">
        <f t="shared" si="167"/>
        <v>96.482204771124103</v>
      </c>
    </row>
    <row r="953" spans="1:9" s="25" customFormat="1" ht="15">
      <c r="A953" s="131" t="s">
        <v>273</v>
      </c>
      <c r="B953" s="22" t="s">
        <v>654</v>
      </c>
      <c r="C953" s="22" t="s">
        <v>86</v>
      </c>
      <c r="D953" s="22" t="s">
        <v>69</v>
      </c>
      <c r="E953" s="22" t="s">
        <v>274</v>
      </c>
      <c r="F953" s="67">
        <f t="shared" si="177"/>
        <v>45483.034</v>
      </c>
      <c r="G953" s="280">
        <f t="shared" si="177"/>
        <v>17716.626469999999</v>
      </c>
      <c r="H953" s="67">
        <f t="shared" si="177"/>
        <v>43883.034</v>
      </c>
      <c r="I953" s="156">
        <f t="shared" si="167"/>
        <v>96.482204771124103</v>
      </c>
    </row>
    <row r="954" spans="1:9" s="25" customFormat="1" ht="15">
      <c r="A954" s="131" t="s">
        <v>275</v>
      </c>
      <c r="B954" s="22" t="s">
        <v>654</v>
      </c>
      <c r="C954" s="22" t="s">
        <v>86</v>
      </c>
      <c r="D954" s="22" t="s">
        <v>69</v>
      </c>
      <c r="E954" s="22" t="s">
        <v>367</v>
      </c>
      <c r="F954" s="67">
        <v>45483.034</v>
      </c>
      <c r="G954" s="280">
        <v>17716.626469999999</v>
      </c>
      <c r="H954" s="67">
        <f>45483.034-1600</f>
        <v>43883.034</v>
      </c>
      <c r="I954" s="156">
        <f t="shared" si="167"/>
        <v>96.482204771124103</v>
      </c>
    </row>
    <row r="955" spans="1:9" s="25" customFormat="1" ht="27">
      <c r="A955" s="142" t="s">
        <v>276</v>
      </c>
      <c r="B955" s="137" t="s">
        <v>188</v>
      </c>
      <c r="C955" s="137"/>
      <c r="D955" s="137"/>
      <c r="E955" s="147"/>
      <c r="F955" s="136">
        <f t="shared" ref="F955:H958" si="178">F956</f>
        <v>847.9</v>
      </c>
      <c r="G955" s="283">
        <f t="shared" si="178"/>
        <v>397.42</v>
      </c>
      <c r="H955" s="136">
        <f t="shared" si="178"/>
        <v>847.9</v>
      </c>
      <c r="I955" s="136">
        <f t="shared" si="167"/>
        <v>100</v>
      </c>
    </row>
    <row r="956" spans="1:9" s="25" customFormat="1" ht="15">
      <c r="A956" s="135" t="s">
        <v>103</v>
      </c>
      <c r="B956" s="132" t="s">
        <v>657</v>
      </c>
      <c r="C956" s="132" t="s">
        <v>69</v>
      </c>
      <c r="D956" s="140"/>
      <c r="E956" s="146"/>
      <c r="F956" s="60">
        <f t="shared" si="178"/>
        <v>847.9</v>
      </c>
      <c r="G956" s="282">
        <f t="shared" si="178"/>
        <v>397.42</v>
      </c>
      <c r="H956" s="60">
        <f t="shared" si="178"/>
        <v>847.9</v>
      </c>
      <c r="I956" s="158">
        <f t="shared" si="167"/>
        <v>100</v>
      </c>
    </row>
    <row r="957" spans="1:9" s="25" customFormat="1" ht="15">
      <c r="A957" s="135" t="s">
        <v>677</v>
      </c>
      <c r="B957" s="132" t="s">
        <v>657</v>
      </c>
      <c r="C957" s="132" t="s">
        <v>69</v>
      </c>
      <c r="D957" s="132" t="s">
        <v>86</v>
      </c>
      <c r="E957" s="132"/>
      <c r="F957" s="60">
        <f t="shared" si="178"/>
        <v>847.9</v>
      </c>
      <c r="G957" s="282">
        <f t="shared" si="178"/>
        <v>397.42</v>
      </c>
      <c r="H957" s="60">
        <f t="shared" si="178"/>
        <v>847.9</v>
      </c>
      <c r="I957" s="158">
        <f t="shared" si="167"/>
        <v>100</v>
      </c>
    </row>
    <row r="958" spans="1:9" s="25" customFormat="1" ht="15">
      <c r="A958" s="139" t="s">
        <v>676</v>
      </c>
      <c r="B958" s="22" t="s">
        <v>657</v>
      </c>
      <c r="C958" s="22" t="s">
        <v>69</v>
      </c>
      <c r="D958" s="22" t="s">
        <v>86</v>
      </c>
      <c r="E958" s="145">
        <v>200</v>
      </c>
      <c r="F958" s="67">
        <f t="shared" si="178"/>
        <v>847.9</v>
      </c>
      <c r="G958" s="280">
        <f t="shared" si="178"/>
        <v>397.42</v>
      </c>
      <c r="H958" s="67">
        <f t="shared" si="178"/>
        <v>847.9</v>
      </c>
      <c r="I958" s="156">
        <f t="shared" si="167"/>
        <v>100</v>
      </c>
    </row>
    <row r="959" spans="1:9" s="25" customFormat="1" ht="24">
      <c r="A959" s="139" t="s">
        <v>78</v>
      </c>
      <c r="B959" s="22" t="s">
        <v>657</v>
      </c>
      <c r="C959" s="22" t="s">
        <v>69</v>
      </c>
      <c r="D959" s="22" t="s">
        <v>86</v>
      </c>
      <c r="E959" s="22" t="s">
        <v>79</v>
      </c>
      <c r="F959" s="67">
        <v>847.9</v>
      </c>
      <c r="G959" s="280">
        <v>397.42</v>
      </c>
      <c r="H959" s="67">
        <v>847.9</v>
      </c>
      <c r="I959" s="156">
        <f t="shared" ref="I959:I1022" si="179">H959/F959*100</f>
        <v>100</v>
      </c>
    </row>
    <row r="960" spans="1:9" s="25" customFormat="1" ht="15">
      <c r="A960" s="138" t="s">
        <v>311</v>
      </c>
      <c r="B960" s="137" t="s">
        <v>187</v>
      </c>
      <c r="C960" s="137"/>
      <c r="D960" s="137"/>
      <c r="E960" s="137"/>
      <c r="F960" s="136">
        <f t="shared" ref="F960:H963" si="180">F961</f>
        <v>1000</v>
      </c>
      <c r="G960" s="283">
        <f t="shared" si="180"/>
        <v>90</v>
      </c>
      <c r="H960" s="136">
        <f t="shared" si="180"/>
        <v>1000</v>
      </c>
      <c r="I960" s="136">
        <f t="shared" si="179"/>
        <v>100</v>
      </c>
    </row>
    <row r="961" spans="1:9" s="25" customFormat="1" ht="15">
      <c r="A961" s="135" t="s">
        <v>321</v>
      </c>
      <c r="B961" s="132" t="s">
        <v>658</v>
      </c>
      <c r="C961" s="132" t="s">
        <v>71</v>
      </c>
      <c r="D961" s="144"/>
      <c r="E961" s="144"/>
      <c r="F961" s="60">
        <f t="shared" si="180"/>
        <v>1000</v>
      </c>
      <c r="G961" s="282">
        <f t="shared" si="180"/>
        <v>90</v>
      </c>
      <c r="H961" s="60">
        <f t="shared" si="180"/>
        <v>1000</v>
      </c>
      <c r="I961" s="158">
        <f t="shared" si="179"/>
        <v>100</v>
      </c>
    </row>
    <row r="962" spans="1:9" s="25" customFormat="1" ht="15">
      <c r="A962" s="135" t="s">
        <v>359</v>
      </c>
      <c r="B962" s="132" t="s">
        <v>658</v>
      </c>
      <c r="C962" s="132" t="s">
        <v>71</v>
      </c>
      <c r="D962" s="132" t="s">
        <v>429</v>
      </c>
      <c r="E962" s="144"/>
      <c r="F962" s="60">
        <f t="shared" si="180"/>
        <v>1000</v>
      </c>
      <c r="G962" s="282">
        <f t="shared" si="180"/>
        <v>90</v>
      </c>
      <c r="H962" s="60">
        <f t="shared" si="180"/>
        <v>1000</v>
      </c>
      <c r="I962" s="158">
        <f t="shared" si="179"/>
        <v>100</v>
      </c>
    </row>
    <row r="963" spans="1:9" s="25" customFormat="1" ht="15">
      <c r="A963" s="131" t="s">
        <v>676</v>
      </c>
      <c r="B963" s="22" t="s">
        <v>658</v>
      </c>
      <c r="C963" s="22" t="s">
        <v>71</v>
      </c>
      <c r="D963" s="22" t="s">
        <v>429</v>
      </c>
      <c r="E963" s="22" t="s">
        <v>77</v>
      </c>
      <c r="F963" s="79">
        <f t="shared" si="180"/>
        <v>1000</v>
      </c>
      <c r="G963" s="272">
        <f t="shared" si="180"/>
        <v>90</v>
      </c>
      <c r="H963" s="79">
        <f t="shared" si="180"/>
        <v>1000</v>
      </c>
      <c r="I963" s="156">
        <f t="shared" si="179"/>
        <v>100</v>
      </c>
    </row>
    <row r="964" spans="1:9" s="25" customFormat="1" ht="24">
      <c r="A964" s="131" t="s">
        <v>78</v>
      </c>
      <c r="B964" s="66" t="s">
        <v>658</v>
      </c>
      <c r="C964" s="22" t="s">
        <v>71</v>
      </c>
      <c r="D964" s="22" t="s">
        <v>429</v>
      </c>
      <c r="E964" s="22" t="s">
        <v>79</v>
      </c>
      <c r="F964" s="67">
        <v>1000</v>
      </c>
      <c r="G964" s="280">
        <v>90</v>
      </c>
      <c r="H964" s="67">
        <v>1000</v>
      </c>
      <c r="I964" s="156">
        <f t="shared" si="179"/>
        <v>100</v>
      </c>
    </row>
    <row r="965" spans="1:9" s="25" customFormat="1" ht="15">
      <c r="A965" s="142" t="s">
        <v>732</v>
      </c>
      <c r="B965" s="137" t="s">
        <v>188</v>
      </c>
      <c r="C965" s="137"/>
      <c r="D965" s="137"/>
      <c r="E965" s="137"/>
      <c r="F965" s="143">
        <f>F966+F971</f>
        <v>12552.092000000001</v>
      </c>
      <c r="G965" s="276">
        <f>G966+G971</f>
        <v>12135.73</v>
      </c>
      <c r="H965" s="143">
        <f>H966+H971</f>
        <v>12552.092000000001</v>
      </c>
      <c r="I965" s="136">
        <f t="shared" si="179"/>
        <v>100</v>
      </c>
    </row>
    <row r="966" spans="1:9" s="194" customFormat="1" ht="15">
      <c r="A966" s="97" t="s">
        <v>360</v>
      </c>
      <c r="B966" s="59" t="s">
        <v>731</v>
      </c>
      <c r="C966" s="59" t="s">
        <v>446</v>
      </c>
      <c r="D966" s="59"/>
      <c r="E966" s="59"/>
      <c r="F966" s="78">
        <f t="shared" ref="F966:H969" si="181">F967</f>
        <v>9402.0920000000006</v>
      </c>
      <c r="G966" s="273">
        <f t="shared" si="181"/>
        <v>9402.0920000000006</v>
      </c>
      <c r="H966" s="78">
        <f t="shared" si="181"/>
        <v>9402.0920000000006</v>
      </c>
      <c r="I966" s="158">
        <f t="shared" si="179"/>
        <v>100</v>
      </c>
    </row>
    <row r="967" spans="1:9" s="194" customFormat="1" ht="15">
      <c r="A967" s="97" t="s">
        <v>349</v>
      </c>
      <c r="B967" s="59" t="s">
        <v>731</v>
      </c>
      <c r="C967" s="59" t="s">
        <v>446</v>
      </c>
      <c r="D967" s="59" t="s">
        <v>423</v>
      </c>
      <c r="E967" s="59"/>
      <c r="F967" s="78">
        <f t="shared" si="181"/>
        <v>9402.0920000000006</v>
      </c>
      <c r="G967" s="273">
        <f t="shared" si="181"/>
        <v>9402.0920000000006</v>
      </c>
      <c r="H967" s="78">
        <f t="shared" si="181"/>
        <v>9402.0920000000006</v>
      </c>
      <c r="I967" s="158">
        <f t="shared" si="179"/>
        <v>100</v>
      </c>
    </row>
    <row r="968" spans="1:9" s="194" customFormat="1" ht="24">
      <c r="A968" s="58" t="s">
        <v>736</v>
      </c>
      <c r="B968" s="59" t="s">
        <v>731</v>
      </c>
      <c r="C968" s="59" t="s">
        <v>446</v>
      </c>
      <c r="D968" s="59" t="s">
        <v>423</v>
      </c>
      <c r="E968" s="59"/>
      <c r="F968" s="78">
        <f t="shared" si="181"/>
        <v>9402.0920000000006</v>
      </c>
      <c r="G968" s="273">
        <f t="shared" si="181"/>
        <v>9402.0920000000006</v>
      </c>
      <c r="H968" s="78">
        <f t="shared" si="181"/>
        <v>9402.0920000000006</v>
      </c>
      <c r="I968" s="158">
        <f t="shared" si="179"/>
        <v>100</v>
      </c>
    </row>
    <row r="969" spans="1:9" s="194" customFormat="1" ht="15">
      <c r="A969" s="193" t="s">
        <v>88</v>
      </c>
      <c r="B969" s="66" t="s">
        <v>731</v>
      </c>
      <c r="C969" s="66" t="s">
        <v>446</v>
      </c>
      <c r="D969" s="66" t="s">
        <v>423</v>
      </c>
      <c r="E969" s="66" t="s">
        <v>87</v>
      </c>
      <c r="F969" s="79">
        <f t="shared" si="181"/>
        <v>9402.0920000000006</v>
      </c>
      <c r="G969" s="272">
        <f t="shared" si="181"/>
        <v>9402.0920000000006</v>
      </c>
      <c r="H969" s="79">
        <f t="shared" si="181"/>
        <v>9402.0920000000006</v>
      </c>
      <c r="I969" s="156">
        <f t="shared" si="179"/>
        <v>100</v>
      </c>
    </row>
    <row r="970" spans="1:9" s="194" customFormat="1" ht="15">
      <c r="A970" s="193" t="s">
        <v>89</v>
      </c>
      <c r="B970" s="66" t="s">
        <v>731</v>
      </c>
      <c r="C970" s="66" t="s">
        <v>446</v>
      </c>
      <c r="D970" s="66" t="s">
        <v>423</v>
      </c>
      <c r="E970" s="66" t="s">
        <v>90</v>
      </c>
      <c r="F970" s="79">
        <f>9622.17-220.078</f>
        <v>9402.0920000000006</v>
      </c>
      <c r="G970" s="272">
        <v>9402.0920000000006</v>
      </c>
      <c r="H970" s="79">
        <v>9402.0920000000006</v>
      </c>
      <c r="I970" s="156">
        <f t="shared" si="179"/>
        <v>100</v>
      </c>
    </row>
    <row r="971" spans="1:9" s="25" customFormat="1" ht="15">
      <c r="A971" s="135" t="s">
        <v>360</v>
      </c>
      <c r="B971" s="132" t="s">
        <v>436</v>
      </c>
      <c r="C971" s="132" t="s">
        <v>446</v>
      </c>
      <c r="D971" s="132"/>
      <c r="E971" s="132"/>
      <c r="F971" s="78">
        <f t="shared" ref="F971:H974" si="182">F972</f>
        <v>3150</v>
      </c>
      <c r="G971" s="273">
        <f t="shared" si="182"/>
        <v>2733.6379999999999</v>
      </c>
      <c r="H971" s="78">
        <f t="shared" si="182"/>
        <v>3150</v>
      </c>
      <c r="I971" s="158">
        <f t="shared" si="179"/>
        <v>100</v>
      </c>
    </row>
    <row r="972" spans="1:9" s="25" customFormat="1" ht="15">
      <c r="A972" s="135" t="s">
        <v>349</v>
      </c>
      <c r="B972" s="132" t="s">
        <v>436</v>
      </c>
      <c r="C972" s="132" t="s">
        <v>446</v>
      </c>
      <c r="D972" s="132" t="s">
        <v>423</v>
      </c>
      <c r="E972" s="132"/>
      <c r="F972" s="78">
        <f t="shared" si="182"/>
        <v>3150</v>
      </c>
      <c r="G972" s="273">
        <f t="shared" si="182"/>
        <v>2733.6379999999999</v>
      </c>
      <c r="H972" s="78">
        <f t="shared" si="182"/>
        <v>3150</v>
      </c>
      <c r="I972" s="158">
        <f t="shared" si="179"/>
        <v>100</v>
      </c>
    </row>
    <row r="973" spans="1:9" s="25" customFormat="1" ht="24">
      <c r="A973" s="133" t="s">
        <v>737</v>
      </c>
      <c r="B973" s="132" t="s">
        <v>436</v>
      </c>
      <c r="C973" s="132" t="s">
        <v>446</v>
      </c>
      <c r="D973" s="132" t="s">
        <v>423</v>
      </c>
      <c r="E973" s="132"/>
      <c r="F973" s="78">
        <f t="shared" si="182"/>
        <v>3150</v>
      </c>
      <c r="G973" s="273">
        <f t="shared" si="182"/>
        <v>2733.6379999999999</v>
      </c>
      <c r="H973" s="78">
        <f t="shared" si="182"/>
        <v>3150</v>
      </c>
      <c r="I973" s="158">
        <f t="shared" si="179"/>
        <v>100</v>
      </c>
    </row>
    <row r="974" spans="1:9" s="25" customFormat="1" ht="15">
      <c r="A974" s="139" t="s">
        <v>88</v>
      </c>
      <c r="B974" s="22" t="s">
        <v>436</v>
      </c>
      <c r="C974" s="22" t="s">
        <v>446</v>
      </c>
      <c r="D974" s="22" t="s">
        <v>423</v>
      </c>
      <c r="E974" s="22" t="s">
        <v>87</v>
      </c>
      <c r="F974" s="79">
        <f t="shared" si="182"/>
        <v>3150</v>
      </c>
      <c r="G974" s="272">
        <f t="shared" si="182"/>
        <v>2733.6379999999999</v>
      </c>
      <c r="H974" s="79">
        <f t="shared" si="182"/>
        <v>3150</v>
      </c>
      <c r="I974" s="156">
        <f t="shared" si="179"/>
        <v>100</v>
      </c>
    </row>
    <row r="975" spans="1:9" s="25" customFormat="1" ht="15">
      <c r="A975" s="139" t="s">
        <v>89</v>
      </c>
      <c r="B975" s="22" t="s">
        <v>436</v>
      </c>
      <c r="C975" s="22" t="s">
        <v>446</v>
      </c>
      <c r="D975" s="22" t="s">
        <v>423</v>
      </c>
      <c r="E975" s="22" t="s">
        <v>90</v>
      </c>
      <c r="F975" s="79">
        <v>3150</v>
      </c>
      <c r="G975" s="280">
        <v>2733.6379999999999</v>
      </c>
      <c r="H975" s="79">
        <v>3150</v>
      </c>
      <c r="I975" s="156">
        <f t="shared" si="179"/>
        <v>100</v>
      </c>
    </row>
    <row r="976" spans="1:9" s="25" customFormat="1" ht="27">
      <c r="A976" s="142" t="s">
        <v>27</v>
      </c>
      <c r="B976" s="137" t="s">
        <v>678</v>
      </c>
      <c r="C976" s="137"/>
      <c r="D976" s="137"/>
      <c r="E976" s="137"/>
      <c r="F976" s="136">
        <f>F977+F982</f>
        <v>2220</v>
      </c>
      <c r="G976" s="283">
        <f>G977+G982</f>
        <v>1849.99872</v>
      </c>
      <c r="H976" s="136">
        <f>H977+H982</f>
        <v>2220</v>
      </c>
      <c r="I976" s="136">
        <f t="shared" si="179"/>
        <v>100</v>
      </c>
    </row>
    <row r="977" spans="1:9" s="25" customFormat="1" ht="15">
      <c r="A977" s="141" t="s">
        <v>35</v>
      </c>
      <c r="B977" s="132" t="s">
        <v>678</v>
      </c>
      <c r="C977" s="132"/>
      <c r="D977" s="132"/>
      <c r="E977" s="132"/>
      <c r="F977" s="60">
        <f t="shared" ref="F977:H980" si="183">F978</f>
        <v>2192.5</v>
      </c>
      <c r="G977" s="282">
        <f t="shared" si="183"/>
        <v>1822.49872</v>
      </c>
      <c r="H977" s="60">
        <f t="shared" si="183"/>
        <v>2192.5</v>
      </c>
      <c r="I977" s="158">
        <f t="shared" si="179"/>
        <v>100</v>
      </c>
    </row>
    <row r="978" spans="1:9" s="25" customFormat="1" ht="15">
      <c r="A978" s="135" t="s">
        <v>103</v>
      </c>
      <c r="B978" s="132" t="s">
        <v>204</v>
      </c>
      <c r="C978" s="134" t="s">
        <v>69</v>
      </c>
      <c r="D978" s="134"/>
      <c r="E978" s="22"/>
      <c r="F978" s="60">
        <f t="shared" si="183"/>
        <v>2192.5</v>
      </c>
      <c r="G978" s="282">
        <f t="shared" si="183"/>
        <v>1822.49872</v>
      </c>
      <c r="H978" s="60">
        <f t="shared" si="183"/>
        <v>2192.5</v>
      </c>
      <c r="I978" s="158">
        <f t="shared" si="179"/>
        <v>100</v>
      </c>
    </row>
    <row r="979" spans="1:9" s="25" customFormat="1" ht="15">
      <c r="A979" s="135" t="s">
        <v>677</v>
      </c>
      <c r="B979" s="132" t="s">
        <v>204</v>
      </c>
      <c r="C979" s="134" t="s">
        <v>69</v>
      </c>
      <c r="D979" s="134" t="s">
        <v>86</v>
      </c>
      <c r="E979" s="140"/>
      <c r="F979" s="72">
        <f t="shared" si="183"/>
        <v>2192.5</v>
      </c>
      <c r="G979" s="281">
        <f t="shared" si="183"/>
        <v>1822.49872</v>
      </c>
      <c r="H979" s="72">
        <f t="shared" si="183"/>
        <v>2192.5</v>
      </c>
      <c r="I979" s="158">
        <f t="shared" si="179"/>
        <v>100</v>
      </c>
    </row>
    <row r="980" spans="1:9" s="25" customFormat="1" ht="36">
      <c r="A980" s="139" t="s">
        <v>72</v>
      </c>
      <c r="B980" s="22" t="s">
        <v>204</v>
      </c>
      <c r="C980" s="22" t="s">
        <v>69</v>
      </c>
      <c r="D980" s="22" t="s">
        <v>86</v>
      </c>
      <c r="E980" s="22" t="s">
        <v>73</v>
      </c>
      <c r="F980" s="67">
        <f t="shared" si="183"/>
        <v>2192.5</v>
      </c>
      <c r="G980" s="280">
        <f t="shared" si="183"/>
        <v>1822.49872</v>
      </c>
      <c r="H980" s="67">
        <f t="shared" si="183"/>
        <v>2192.5</v>
      </c>
      <c r="I980" s="156">
        <f t="shared" si="179"/>
        <v>100</v>
      </c>
    </row>
    <row r="981" spans="1:9" s="25" customFormat="1" ht="15">
      <c r="A981" s="139" t="s">
        <v>74</v>
      </c>
      <c r="B981" s="22" t="s">
        <v>204</v>
      </c>
      <c r="C981" s="22" t="s">
        <v>69</v>
      </c>
      <c r="D981" s="22" t="s">
        <v>86</v>
      </c>
      <c r="E981" s="22" t="s">
        <v>75</v>
      </c>
      <c r="F981" s="79">
        <f>2220-27.5</f>
        <v>2192.5</v>
      </c>
      <c r="G981" s="272">
        <v>1822.49872</v>
      </c>
      <c r="H981" s="79">
        <f>2220-27.5</f>
        <v>2192.5</v>
      </c>
      <c r="I981" s="156">
        <f t="shared" si="179"/>
        <v>100</v>
      </c>
    </row>
    <row r="982" spans="1:9" s="25" customFormat="1" ht="15">
      <c r="A982" s="141" t="s">
        <v>738</v>
      </c>
      <c r="B982" s="132" t="s">
        <v>678</v>
      </c>
      <c r="C982" s="132"/>
      <c r="D982" s="132"/>
      <c r="E982" s="132"/>
      <c r="F982" s="78">
        <f t="shared" ref="F982:H985" si="184">F983</f>
        <v>27.5</v>
      </c>
      <c r="G982" s="273">
        <f t="shared" si="184"/>
        <v>27.5</v>
      </c>
      <c r="H982" s="78">
        <f t="shared" si="184"/>
        <v>27.5</v>
      </c>
      <c r="I982" s="158">
        <f t="shared" si="179"/>
        <v>100</v>
      </c>
    </row>
    <row r="983" spans="1:9" s="25" customFormat="1" ht="15">
      <c r="A983" s="135" t="s">
        <v>103</v>
      </c>
      <c r="B983" s="132" t="s">
        <v>204</v>
      </c>
      <c r="C983" s="134" t="s">
        <v>69</v>
      </c>
      <c r="D983" s="134"/>
      <c r="E983" s="132"/>
      <c r="F983" s="78">
        <f t="shared" si="184"/>
        <v>27.5</v>
      </c>
      <c r="G983" s="273">
        <f t="shared" si="184"/>
        <v>27.5</v>
      </c>
      <c r="H983" s="78">
        <f t="shared" si="184"/>
        <v>27.5</v>
      </c>
      <c r="I983" s="158">
        <f t="shared" si="179"/>
        <v>100</v>
      </c>
    </row>
    <row r="984" spans="1:9" s="25" customFormat="1" ht="15">
      <c r="A984" s="135" t="s">
        <v>677</v>
      </c>
      <c r="B984" s="132" t="s">
        <v>204</v>
      </c>
      <c r="C984" s="134" t="s">
        <v>69</v>
      </c>
      <c r="D984" s="134" t="s">
        <v>86</v>
      </c>
      <c r="E984" s="132"/>
      <c r="F984" s="78">
        <f t="shared" si="184"/>
        <v>27.5</v>
      </c>
      <c r="G984" s="273">
        <f t="shared" si="184"/>
        <v>27.5</v>
      </c>
      <c r="H984" s="78">
        <f t="shared" si="184"/>
        <v>27.5</v>
      </c>
      <c r="I984" s="158">
        <f t="shared" si="179"/>
        <v>100</v>
      </c>
    </row>
    <row r="985" spans="1:9" s="25" customFormat="1" ht="15">
      <c r="A985" s="131" t="s">
        <v>676</v>
      </c>
      <c r="B985" s="22" t="s">
        <v>204</v>
      </c>
      <c r="C985" s="22" t="s">
        <v>69</v>
      </c>
      <c r="D985" s="22" t="s">
        <v>86</v>
      </c>
      <c r="E985" s="22" t="s">
        <v>77</v>
      </c>
      <c r="F985" s="79">
        <f t="shared" si="184"/>
        <v>27.5</v>
      </c>
      <c r="G985" s="272">
        <f t="shared" si="184"/>
        <v>27.5</v>
      </c>
      <c r="H985" s="79">
        <f t="shared" si="184"/>
        <v>27.5</v>
      </c>
      <c r="I985" s="156">
        <f t="shared" si="179"/>
        <v>100</v>
      </c>
    </row>
    <row r="986" spans="1:9" s="25" customFormat="1" ht="24">
      <c r="A986" s="131" t="s">
        <v>78</v>
      </c>
      <c r="B986" s="22" t="s">
        <v>204</v>
      </c>
      <c r="C986" s="22" t="s">
        <v>69</v>
      </c>
      <c r="D986" s="22" t="s">
        <v>86</v>
      </c>
      <c r="E986" s="22" t="s">
        <v>79</v>
      </c>
      <c r="F986" s="79">
        <v>27.5</v>
      </c>
      <c r="G986" s="272">
        <v>27.5</v>
      </c>
      <c r="H986" s="79">
        <v>27.5</v>
      </c>
      <c r="I986" s="156">
        <f t="shared" si="179"/>
        <v>100</v>
      </c>
    </row>
    <row r="987" spans="1:9" s="25" customFormat="1" ht="40.5">
      <c r="A987" s="138" t="s">
        <v>398</v>
      </c>
      <c r="B987" s="137" t="s">
        <v>188</v>
      </c>
      <c r="C987" s="137"/>
      <c r="D987" s="137"/>
      <c r="E987" s="137"/>
      <c r="F987" s="136">
        <f t="shared" ref="F987:H990" si="185">F988</f>
        <v>182.7</v>
      </c>
      <c r="G987" s="276">
        <f t="shared" si="185"/>
        <v>0</v>
      </c>
      <c r="H987" s="136">
        <f t="shared" si="185"/>
        <v>182.7</v>
      </c>
      <c r="I987" s="136">
        <f t="shared" si="179"/>
        <v>100</v>
      </c>
    </row>
    <row r="988" spans="1:9" s="25" customFormat="1" ht="15">
      <c r="A988" s="135" t="s">
        <v>103</v>
      </c>
      <c r="B988" s="132" t="s">
        <v>313</v>
      </c>
      <c r="C988" s="134" t="s">
        <v>69</v>
      </c>
      <c r="D988" s="132"/>
      <c r="E988" s="132"/>
      <c r="F988" s="60">
        <f t="shared" si="185"/>
        <v>182.7</v>
      </c>
      <c r="G988" s="273">
        <f t="shared" si="185"/>
        <v>0</v>
      </c>
      <c r="H988" s="60">
        <f t="shared" si="185"/>
        <v>182.7</v>
      </c>
      <c r="I988" s="158">
        <f t="shared" si="179"/>
        <v>100</v>
      </c>
    </row>
    <row r="989" spans="1:9" s="25" customFormat="1" ht="15">
      <c r="A989" s="133" t="s">
        <v>395</v>
      </c>
      <c r="B989" s="132" t="s">
        <v>313</v>
      </c>
      <c r="C989" s="132" t="s">
        <v>69</v>
      </c>
      <c r="D989" s="132" t="s">
        <v>376</v>
      </c>
      <c r="E989" s="132"/>
      <c r="F989" s="60">
        <f t="shared" si="185"/>
        <v>182.7</v>
      </c>
      <c r="G989" s="273">
        <f t="shared" si="185"/>
        <v>0</v>
      </c>
      <c r="H989" s="60">
        <f t="shared" si="185"/>
        <v>182.7</v>
      </c>
      <c r="I989" s="158">
        <f t="shared" si="179"/>
        <v>100</v>
      </c>
    </row>
    <row r="990" spans="1:9" s="25" customFormat="1" ht="15">
      <c r="A990" s="131" t="s">
        <v>676</v>
      </c>
      <c r="B990" s="22" t="s">
        <v>313</v>
      </c>
      <c r="C990" s="22" t="s">
        <v>69</v>
      </c>
      <c r="D990" s="22" t="s">
        <v>376</v>
      </c>
      <c r="E990" s="22" t="s">
        <v>77</v>
      </c>
      <c r="F990" s="67">
        <f t="shared" si="185"/>
        <v>182.7</v>
      </c>
      <c r="G990" s="272">
        <f t="shared" si="185"/>
        <v>0</v>
      </c>
      <c r="H990" s="67">
        <f t="shared" si="185"/>
        <v>182.7</v>
      </c>
      <c r="I990" s="156">
        <f t="shared" si="179"/>
        <v>100</v>
      </c>
    </row>
    <row r="991" spans="1:9" s="25" customFormat="1" ht="24">
      <c r="A991" s="131" t="s">
        <v>78</v>
      </c>
      <c r="B991" s="22" t="s">
        <v>313</v>
      </c>
      <c r="C991" s="22" t="s">
        <v>69</v>
      </c>
      <c r="D991" s="22" t="s">
        <v>376</v>
      </c>
      <c r="E991" s="22" t="s">
        <v>79</v>
      </c>
      <c r="F991" s="79">
        <v>182.7</v>
      </c>
      <c r="G991" s="272">
        <v>0</v>
      </c>
      <c r="H991" s="79">
        <v>182.7</v>
      </c>
      <c r="I991" s="156">
        <f t="shared" si="179"/>
        <v>100</v>
      </c>
    </row>
    <row r="992" spans="1:9" s="25" customFormat="1" ht="27">
      <c r="A992" s="138" t="s">
        <v>720</v>
      </c>
      <c r="B992" s="137" t="s">
        <v>188</v>
      </c>
      <c r="C992" s="164"/>
      <c r="D992" s="164"/>
      <c r="E992" s="164"/>
      <c r="F992" s="136">
        <f>F993+F997</f>
        <v>26.136970000000002</v>
      </c>
      <c r="G992" s="276">
        <f>G993+G997</f>
        <v>26.136970000000002</v>
      </c>
      <c r="H992" s="136">
        <f>H993+H997</f>
        <v>26.136970000000002</v>
      </c>
      <c r="I992" s="136">
        <f t="shared" si="179"/>
        <v>100</v>
      </c>
    </row>
    <row r="993" spans="1:9" s="25" customFormat="1" ht="15">
      <c r="A993" s="135" t="s">
        <v>103</v>
      </c>
      <c r="B993" s="59" t="s">
        <v>722</v>
      </c>
      <c r="C993" s="59" t="s">
        <v>69</v>
      </c>
      <c r="D993" s="59"/>
      <c r="E993" s="59"/>
      <c r="F993" s="109">
        <f t="shared" ref="F993:H995" si="186">F994</f>
        <v>13.05</v>
      </c>
      <c r="G993" s="278">
        <f t="shared" si="186"/>
        <v>13.05</v>
      </c>
      <c r="H993" s="109">
        <f t="shared" si="186"/>
        <v>13.05</v>
      </c>
      <c r="I993" s="158">
        <f t="shared" si="179"/>
        <v>100</v>
      </c>
    </row>
    <row r="994" spans="1:9" s="25" customFormat="1" ht="36">
      <c r="A994" s="58" t="s">
        <v>280</v>
      </c>
      <c r="B994" s="59" t="s">
        <v>721</v>
      </c>
      <c r="C994" s="59" t="s">
        <v>69</v>
      </c>
      <c r="D994" s="59" t="s">
        <v>71</v>
      </c>
      <c r="E994" s="59"/>
      <c r="F994" s="60">
        <f t="shared" si="186"/>
        <v>13.05</v>
      </c>
      <c r="G994" s="273">
        <f t="shared" si="186"/>
        <v>13.05</v>
      </c>
      <c r="H994" s="60">
        <f t="shared" si="186"/>
        <v>13.05</v>
      </c>
      <c r="I994" s="158">
        <f t="shared" si="179"/>
        <v>100</v>
      </c>
    </row>
    <row r="995" spans="1:9" s="25" customFormat="1" ht="36">
      <c r="A995" s="131" t="s">
        <v>72</v>
      </c>
      <c r="B995" s="22" t="s">
        <v>721</v>
      </c>
      <c r="C995" s="22" t="s">
        <v>69</v>
      </c>
      <c r="D995" s="22" t="s">
        <v>71</v>
      </c>
      <c r="E995" s="22" t="s">
        <v>73</v>
      </c>
      <c r="F995" s="67">
        <f t="shared" si="186"/>
        <v>13.05</v>
      </c>
      <c r="G995" s="272">
        <f t="shared" si="186"/>
        <v>13.05</v>
      </c>
      <c r="H995" s="67">
        <f t="shared" si="186"/>
        <v>13.05</v>
      </c>
      <c r="I995" s="156">
        <f t="shared" si="179"/>
        <v>100</v>
      </c>
    </row>
    <row r="996" spans="1:9" s="25" customFormat="1" ht="15">
      <c r="A996" s="131" t="s">
        <v>74</v>
      </c>
      <c r="B996" s="22" t="s">
        <v>721</v>
      </c>
      <c r="C996" s="22" t="s">
        <v>69</v>
      </c>
      <c r="D996" s="22" t="s">
        <v>71</v>
      </c>
      <c r="E996" s="22" t="s">
        <v>75</v>
      </c>
      <c r="F996" s="67">
        <v>13.05</v>
      </c>
      <c r="G996" s="67">
        <v>13.05</v>
      </c>
      <c r="H996" s="67">
        <v>13.05</v>
      </c>
      <c r="I996" s="156">
        <f t="shared" si="179"/>
        <v>100</v>
      </c>
    </row>
    <row r="997" spans="1:9" s="25" customFormat="1" ht="15">
      <c r="A997" s="133" t="s">
        <v>333</v>
      </c>
      <c r="B997" s="132" t="s">
        <v>721</v>
      </c>
      <c r="C997" s="132" t="s">
        <v>376</v>
      </c>
      <c r="D997" s="132"/>
      <c r="E997" s="132"/>
      <c r="F997" s="60">
        <f t="shared" ref="F997:H999" si="187">F998</f>
        <v>13.086970000000001</v>
      </c>
      <c r="G997" s="273">
        <f t="shared" si="187"/>
        <v>13.086970000000001</v>
      </c>
      <c r="H997" s="60">
        <f t="shared" si="187"/>
        <v>13.086970000000001</v>
      </c>
      <c r="I997" s="158">
        <f t="shared" si="179"/>
        <v>100</v>
      </c>
    </row>
    <row r="998" spans="1:9" s="25" customFormat="1" ht="15">
      <c r="A998" s="133" t="s">
        <v>337</v>
      </c>
      <c r="B998" s="132" t="s">
        <v>721</v>
      </c>
      <c r="C998" s="132" t="s">
        <v>376</v>
      </c>
      <c r="D998" s="132" t="s">
        <v>376</v>
      </c>
      <c r="E998" s="132"/>
      <c r="F998" s="60">
        <f t="shared" si="187"/>
        <v>13.086970000000001</v>
      </c>
      <c r="G998" s="273">
        <f t="shared" si="187"/>
        <v>13.086970000000001</v>
      </c>
      <c r="H998" s="60">
        <f t="shared" si="187"/>
        <v>13.086970000000001</v>
      </c>
      <c r="I998" s="158">
        <f t="shared" si="179"/>
        <v>100</v>
      </c>
    </row>
    <row r="999" spans="1:9" s="25" customFormat="1" ht="36">
      <c r="A999" s="131" t="s">
        <v>72</v>
      </c>
      <c r="B999" s="22" t="s">
        <v>721</v>
      </c>
      <c r="C999" s="22" t="s">
        <v>376</v>
      </c>
      <c r="D999" s="22" t="s">
        <v>376</v>
      </c>
      <c r="E999" s="22" t="s">
        <v>73</v>
      </c>
      <c r="F999" s="67">
        <f t="shared" si="187"/>
        <v>13.086970000000001</v>
      </c>
      <c r="G999" s="272">
        <f t="shared" si="187"/>
        <v>13.086970000000001</v>
      </c>
      <c r="H999" s="67">
        <f t="shared" si="187"/>
        <v>13.086970000000001</v>
      </c>
      <c r="I999" s="156">
        <f t="shared" si="179"/>
        <v>100</v>
      </c>
    </row>
    <row r="1000" spans="1:9" s="25" customFormat="1" ht="15">
      <c r="A1000" s="131" t="s">
        <v>74</v>
      </c>
      <c r="B1000" s="22" t="s">
        <v>721</v>
      </c>
      <c r="C1000" s="22" t="s">
        <v>376</v>
      </c>
      <c r="D1000" s="22" t="s">
        <v>376</v>
      </c>
      <c r="E1000" s="22" t="s">
        <v>75</v>
      </c>
      <c r="F1000" s="67">
        <v>13.086970000000001</v>
      </c>
      <c r="G1000" s="67">
        <v>13.086970000000001</v>
      </c>
      <c r="H1000" s="67">
        <v>13.086970000000001</v>
      </c>
      <c r="I1000" s="156">
        <f t="shared" si="179"/>
        <v>100</v>
      </c>
    </row>
    <row r="1001" spans="1:9" s="25" customFormat="1" ht="27">
      <c r="A1001" s="138" t="s">
        <v>747</v>
      </c>
      <c r="B1001" s="137" t="s">
        <v>188</v>
      </c>
      <c r="C1001" s="164"/>
      <c r="D1001" s="164"/>
      <c r="E1001" s="164"/>
      <c r="F1001" s="136">
        <f t="shared" ref="F1001:H1002" si="188">F1002</f>
        <v>592.38499999999999</v>
      </c>
      <c r="G1001" s="276">
        <f t="shared" si="188"/>
        <v>418.98304999999999</v>
      </c>
      <c r="H1001" s="136">
        <f t="shared" si="188"/>
        <v>592.38499999999999</v>
      </c>
      <c r="I1001" s="136">
        <f t="shared" si="179"/>
        <v>100</v>
      </c>
    </row>
    <row r="1002" spans="1:9" s="194" customFormat="1" ht="15">
      <c r="A1002" s="58" t="s">
        <v>321</v>
      </c>
      <c r="B1002" s="59" t="s">
        <v>748</v>
      </c>
      <c r="C1002" s="59" t="s">
        <v>71</v>
      </c>
      <c r="D1002" s="59"/>
      <c r="E1002" s="59"/>
      <c r="F1002" s="60">
        <f t="shared" si="188"/>
        <v>592.38499999999999</v>
      </c>
      <c r="G1002" s="273">
        <f t="shared" si="188"/>
        <v>418.98304999999999</v>
      </c>
      <c r="H1002" s="60">
        <f t="shared" si="188"/>
        <v>592.38499999999999</v>
      </c>
      <c r="I1002" s="158">
        <f t="shared" si="179"/>
        <v>100</v>
      </c>
    </row>
    <row r="1003" spans="1:9" s="194" customFormat="1" ht="15">
      <c r="A1003" s="58" t="s">
        <v>746</v>
      </c>
      <c r="B1003" s="59" t="s">
        <v>748</v>
      </c>
      <c r="C1003" s="59" t="s">
        <v>71</v>
      </c>
      <c r="D1003" s="59" t="s">
        <v>69</v>
      </c>
      <c r="E1003" s="59"/>
      <c r="F1003" s="60">
        <f>F1004+F1006</f>
        <v>592.38499999999999</v>
      </c>
      <c r="G1003" s="272">
        <f>G1004+G1006</f>
        <v>418.98304999999999</v>
      </c>
      <c r="H1003" s="60">
        <f>H1004+H1006</f>
        <v>592.38499999999999</v>
      </c>
      <c r="I1003" s="158">
        <f t="shared" si="179"/>
        <v>100</v>
      </c>
    </row>
    <row r="1004" spans="1:9" s="194" customFormat="1" ht="36">
      <c r="A1004" s="65" t="s">
        <v>72</v>
      </c>
      <c r="B1004" s="66" t="s">
        <v>748</v>
      </c>
      <c r="C1004" s="66" t="s">
        <v>71</v>
      </c>
      <c r="D1004" s="66" t="s">
        <v>69</v>
      </c>
      <c r="E1004" s="66" t="s">
        <v>73</v>
      </c>
      <c r="F1004" s="67">
        <f>F1005</f>
        <v>506.1223</v>
      </c>
      <c r="G1004" s="272">
        <f>G1005</f>
        <v>332.72035</v>
      </c>
      <c r="H1004" s="67">
        <f>H1005</f>
        <v>506.1223</v>
      </c>
      <c r="I1004" s="156">
        <f t="shared" si="179"/>
        <v>100</v>
      </c>
    </row>
    <row r="1005" spans="1:9" s="194" customFormat="1" ht="15">
      <c r="A1005" s="65" t="s">
        <v>74</v>
      </c>
      <c r="B1005" s="66" t="s">
        <v>748</v>
      </c>
      <c r="C1005" s="66" t="s">
        <v>71</v>
      </c>
      <c r="D1005" s="66" t="s">
        <v>69</v>
      </c>
      <c r="E1005" s="66" t="s">
        <v>75</v>
      </c>
      <c r="F1005" s="67">
        <f>190.06768+316.05462</f>
        <v>506.1223</v>
      </c>
      <c r="G1005" s="272">
        <v>332.72035</v>
      </c>
      <c r="H1005" s="67">
        <f>190.06768+316.05462</f>
        <v>506.1223</v>
      </c>
      <c r="I1005" s="156">
        <f t="shared" si="179"/>
        <v>100</v>
      </c>
    </row>
    <row r="1006" spans="1:9" s="194" customFormat="1" ht="24">
      <c r="A1006" s="65" t="s">
        <v>94</v>
      </c>
      <c r="B1006" s="66" t="s">
        <v>748</v>
      </c>
      <c r="C1006" s="66" t="s">
        <v>71</v>
      </c>
      <c r="D1006" s="66" t="s">
        <v>69</v>
      </c>
      <c r="E1006" s="66" t="s">
        <v>362</v>
      </c>
      <c r="F1006" s="67">
        <f>F1007</f>
        <v>86.262700000000009</v>
      </c>
      <c r="G1006" s="272">
        <f>G1007</f>
        <v>86.262700000000009</v>
      </c>
      <c r="H1006" s="67">
        <f>H1007</f>
        <v>86.262700000000009</v>
      </c>
      <c r="I1006" s="156">
        <f t="shared" si="179"/>
        <v>100</v>
      </c>
    </row>
    <row r="1007" spans="1:9" s="194" customFormat="1" ht="15">
      <c r="A1007" s="65" t="s">
        <v>95</v>
      </c>
      <c r="B1007" s="66" t="s">
        <v>748</v>
      </c>
      <c r="C1007" s="66" t="s">
        <v>71</v>
      </c>
      <c r="D1007" s="66" t="s">
        <v>69</v>
      </c>
      <c r="E1007" s="66" t="s">
        <v>371</v>
      </c>
      <c r="F1007" s="67">
        <f>107.49832-21.23562</f>
        <v>86.262700000000009</v>
      </c>
      <c r="G1007" s="67">
        <f>107.49832-21.23562</f>
        <v>86.262700000000009</v>
      </c>
      <c r="H1007" s="67">
        <f>107.49832-21.23562</f>
        <v>86.262700000000009</v>
      </c>
      <c r="I1007" s="156">
        <f t="shared" si="179"/>
        <v>100</v>
      </c>
    </row>
    <row r="1008" spans="1:9" s="194" customFormat="1" ht="24">
      <c r="A1008" s="206" t="s">
        <v>756</v>
      </c>
      <c r="B1008" s="137" t="s">
        <v>188</v>
      </c>
      <c r="C1008" s="168"/>
      <c r="D1008" s="168"/>
      <c r="E1008" s="168"/>
      <c r="F1008" s="155">
        <f t="shared" ref="F1008:H1009" si="189">F1009</f>
        <v>10853.28</v>
      </c>
      <c r="G1008" s="155">
        <f t="shared" si="189"/>
        <v>915.68000000000006</v>
      </c>
      <c r="H1008" s="155">
        <f t="shared" si="189"/>
        <v>10853.28</v>
      </c>
      <c r="I1008" s="136">
        <f t="shared" si="179"/>
        <v>100</v>
      </c>
    </row>
    <row r="1009" spans="1:9" s="194" customFormat="1" ht="15">
      <c r="A1009" s="85" t="s">
        <v>338</v>
      </c>
      <c r="B1009" s="59" t="s">
        <v>757</v>
      </c>
      <c r="C1009" s="59" t="s">
        <v>430</v>
      </c>
      <c r="D1009" s="59"/>
      <c r="E1009" s="59"/>
      <c r="F1009" s="60">
        <f t="shared" si="189"/>
        <v>10853.28</v>
      </c>
      <c r="G1009" s="60">
        <f t="shared" si="189"/>
        <v>915.68000000000006</v>
      </c>
      <c r="H1009" s="60">
        <f t="shared" si="189"/>
        <v>10853.28</v>
      </c>
      <c r="I1009" s="60">
        <f t="shared" si="179"/>
        <v>100</v>
      </c>
    </row>
    <row r="1010" spans="1:9" s="194" customFormat="1" ht="15">
      <c r="A1010" s="85" t="s">
        <v>341</v>
      </c>
      <c r="B1010" s="59" t="s">
        <v>757</v>
      </c>
      <c r="C1010" s="59" t="s">
        <v>430</v>
      </c>
      <c r="D1010" s="59" t="s">
        <v>424</v>
      </c>
      <c r="E1010" s="59"/>
      <c r="F1010" s="60">
        <f>F1011+F1013</f>
        <v>10853.28</v>
      </c>
      <c r="G1010" s="60">
        <f>G1011+G1013</f>
        <v>915.68000000000006</v>
      </c>
      <c r="H1010" s="60">
        <f>H1011+H1013</f>
        <v>10853.28</v>
      </c>
      <c r="I1010" s="60">
        <f t="shared" si="179"/>
        <v>100</v>
      </c>
    </row>
    <row r="1011" spans="1:9" s="275" customFormat="1" ht="14.25">
      <c r="A1011" s="131" t="s">
        <v>676</v>
      </c>
      <c r="B1011" s="66" t="s">
        <v>757</v>
      </c>
      <c r="C1011" s="66" t="s">
        <v>430</v>
      </c>
      <c r="D1011" s="66" t="s">
        <v>424</v>
      </c>
      <c r="E1011" s="66" t="s">
        <v>77</v>
      </c>
      <c r="F1011" s="67">
        <f>F1012</f>
        <v>9937.6</v>
      </c>
      <c r="G1011" s="79">
        <f>G1012</f>
        <v>0</v>
      </c>
      <c r="H1011" s="67">
        <f>H1012</f>
        <v>9937.6</v>
      </c>
      <c r="I1011" s="67">
        <f t="shared" si="179"/>
        <v>100</v>
      </c>
    </row>
    <row r="1012" spans="1:9" s="275" customFormat="1" ht="24">
      <c r="A1012" s="131" t="s">
        <v>78</v>
      </c>
      <c r="B1012" s="66" t="s">
        <v>757</v>
      </c>
      <c r="C1012" s="66" t="s">
        <v>430</v>
      </c>
      <c r="D1012" s="66" t="s">
        <v>424</v>
      </c>
      <c r="E1012" s="66" t="s">
        <v>79</v>
      </c>
      <c r="F1012" s="67">
        <v>9937.6</v>
      </c>
      <c r="G1012" s="272">
        <v>0</v>
      </c>
      <c r="H1012" s="67">
        <v>9937.6</v>
      </c>
      <c r="I1012" s="67">
        <f t="shared" si="179"/>
        <v>100</v>
      </c>
    </row>
    <row r="1013" spans="1:9" s="194" customFormat="1" ht="24">
      <c r="A1013" s="65" t="s">
        <v>94</v>
      </c>
      <c r="B1013" s="66" t="s">
        <v>757</v>
      </c>
      <c r="C1013" s="66" t="s">
        <v>430</v>
      </c>
      <c r="D1013" s="66" t="s">
        <v>424</v>
      </c>
      <c r="E1013" s="66" t="s">
        <v>362</v>
      </c>
      <c r="F1013" s="67">
        <f>F1014+F1015</f>
        <v>915.68000000000006</v>
      </c>
      <c r="G1013" s="272">
        <f>G1014+G1015</f>
        <v>915.68000000000006</v>
      </c>
      <c r="H1013" s="67">
        <f>H1014+H1015</f>
        <v>915.68000000000006</v>
      </c>
      <c r="I1013" s="67">
        <f t="shared" si="179"/>
        <v>100</v>
      </c>
    </row>
    <row r="1014" spans="1:9" s="194" customFormat="1" ht="15">
      <c r="A1014" s="65" t="s">
        <v>95</v>
      </c>
      <c r="B1014" s="66" t="s">
        <v>757</v>
      </c>
      <c r="C1014" s="66" t="s">
        <v>430</v>
      </c>
      <c r="D1014" s="66" t="s">
        <v>424</v>
      </c>
      <c r="E1014" s="66" t="s">
        <v>371</v>
      </c>
      <c r="F1014" s="67">
        <v>861.36</v>
      </c>
      <c r="G1014" s="272">
        <v>861.36</v>
      </c>
      <c r="H1014" s="67">
        <v>861.36</v>
      </c>
      <c r="I1014" s="67">
        <f t="shared" si="179"/>
        <v>100</v>
      </c>
    </row>
    <row r="1015" spans="1:9" s="194" customFormat="1" ht="15">
      <c r="A1015" s="65" t="s">
        <v>447</v>
      </c>
      <c r="B1015" s="66" t="s">
        <v>757</v>
      </c>
      <c r="C1015" s="66" t="s">
        <v>430</v>
      </c>
      <c r="D1015" s="66" t="s">
        <v>424</v>
      </c>
      <c r="E1015" s="66" t="s">
        <v>448</v>
      </c>
      <c r="F1015" s="67">
        <v>54.32</v>
      </c>
      <c r="G1015" s="272">
        <v>54.32</v>
      </c>
      <c r="H1015" s="67">
        <v>54.32</v>
      </c>
      <c r="I1015" s="67">
        <f t="shared" si="179"/>
        <v>100</v>
      </c>
    </row>
    <row r="1016" spans="1:9" s="194" customFormat="1" ht="15">
      <c r="A1016" s="206" t="s">
        <v>762</v>
      </c>
      <c r="B1016" s="137" t="s">
        <v>188</v>
      </c>
      <c r="C1016" s="168"/>
      <c r="D1016" s="168"/>
      <c r="E1016" s="168"/>
      <c r="F1016" s="155">
        <f t="shared" ref="F1016:H1019" si="190">F1017</f>
        <v>5985.46</v>
      </c>
      <c r="G1016" s="274">
        <f t="shared" si="190"/>
        <v>794.36400000000003</v>
      </c>
      <c r="H1016" s="155">
        <f t="shared" si="190"/>
        <v>5985.46</v>
      </c>
      <c r="I1016" s="136">
        <f t="shared" si="179"/>
        <v>100</v>
      </c>
    </row>
    <row r="1017" spans="1:9" s="194" customFormat="1" ht="15">
      <c r="A1017" s="97" t="s">
        <v>103</v>
      </c>
      <c r="B1017" s="86" t="s">
        <v>763</v>
      </c>
      <c r="C1017" s="59" t="s">
        <v>69</v>
      </c>
      <c r="D1017" s="59"/>
      <c r="E1017" s="59"/>
      <c r="F1017" s="78">
        <f t="shared" si="190"/>
        <v>5985.46</v>
      </c>
      <c r="G1017" s="273">
        <f t="shared" si="190"/>
        <v>794.36400000000003</v>
      </c>
      <c r="H1017" s="78">
        <f t="shared" si="190"/>
        <v>5985.46</v>
      </c>
      <c r="I1017" s="60">
        <f t="shared" si="179"/>
        <v>100</v>
      </c>
    </row>
    <row r="1018" spans="1:9" s="194" customFormat="1" ht="15">
      <c r="A1018" s="97" t="s">
        <v>677</v>
      </c>
      <c r="B1018" s="86" t="s">
        <v>763</v>
      </c>
      <c r="C1018" s="59" t="s">
        <v>69</v>
      </c>
      <c r="D1018" s="59" t="s">
        <v>86</v>
      </c>
      <c r="E1018" s="59"/>
      <c r="F1018" s="78">
        <f t="shared" si="190"/>
        <v>5985.46</v>
      </c>
      <c r="G1018" s="273">
        <f t="shared" si="190"/>
        <v>794.36400000000003</v>
      </c>
      <c r="H1018" s="78">
        <f t="shared" si="190"/>
        <v>5985.46</v>
      </c>
      <c r="I1018" s="60">
        <f t="shared" si="179"/>
        <v>100</v>
      </c>
    </row>
    <row r="1019" spans="1:9" s="194" customFormat="1" ht="24">
      <c r="A1019" s="65" t="s">
        <v>486</v>
      </c>
      <c r="B1019" s="76" t="s">
        <v>763</v>
      </c>
      <c r="C1019" s="66" t="s">
        <v>69</v>
      </c>
      <c r="D1019" s="66" t="s">
        <v>86</v>
      </c>
      <c r="E1019" s="66" t="s">
        <v>77</v>
      </c>
      <c r="F1019" s="79">
        <f t="shared" si="190"/>
        <v>5985.46</v>
      </c>
      <c r="G1019" s="272">
        <f t="shared" si="190"/>
        <v>794.36400000000003</v>
      </c>
      <c r="H1019" s="79">
        <f t="shared" si="190"/>
        <v>5985.46</v>
      </c>
      <c r="I1019" s="67">
        <f t="shared" si="179"/>
        <v>100</v>
      </c>
    </row>
    <row r="1020" spans="1:9" s="194" customFormat="1" ht="24">
      <c r="A1020" s="65" t="s">
        <v>78</v>
      </c>
      <c r="B1020" s="76" t="s">
        <v>763</v>
      </c>
      <c r="C1020" s="66" t="s">
        <v>69</v>
      </c>
      <c r="D1020" s="66" t="s">
        <v>86</v>
      </c>
      <c r="E1020" s="66" t="s">
        <v>79</v>
      </c>
      <c r="F1020" s="79">
        <v>5985.46</v>
      </c>
      <c r="G1020" s="272">
        <v>794.36400000000003</v>
      </c>
      <c r="H1020" s="79">
        <v>5985.46</v>
      </c>
      <c r="I1020" s="67">
        <f t="shared" si="179"/>
        <v>100</v>
      </c>
    </row>
    <row r="1021" spans="1:9" s="194" customFormat="1" ht="24">
      <c r="A1021" s="206" t="s">
        <v>774</v>
      </c>
      <c r="B1021" s="137" t="s">
        <v>188</v>
      </c>
      <c r="C1021" s="168"/>
      <c r="D1021" s="168"/>
      <c r="E1021" s="168"/>
      <c r="F1021" s="155">
        <f>F1022+F1026+F1030+F1034+F1038+F1042+F1046+F1050</f>
        <v>6290.4</v>
      </c>
      <c r="G1021" s="155">
        <f>G1022+G1026+G1030+G1034+G1038+G1042+G1046+G1050</f>
        <v>4711.5759499999995</v>
      </c>
      <c r="H1021" s="155">
        <f>H1022+H1026+H1030+H1034+H1038+H1042+H1046+H1050</f>
        <v>6290.4</v>
      </c>
      <c r="I1021" s="136">
        <f t="shared" si="179"/>
        <v>100</v>
      </c>
    </row>
    <row r="1022" spans="1:9" s="194" customFormat="1" ht="15">
      <c r="A1022" s="97" t="s">
        <v>103</v>
      </c>
      <c r="B1022" s="59" t="s">
        <v>769</v>
      </c>
      <c r="C1022" s="59" t="s">
        <v>69</v>
      </c>
      <c r="D1022" s="59"/>
      <c r="E1022" s="59"/>
      <c r="F1022" s="60">
        <f t="shared" ref="F1022:H1024" si="191">F1023</f>
        <v>195.3</v>
      </c>
      <c r="G1022" s="273">
        <f t="shared" si="191"/>
        <v>0</v>
      </c>
      <c r="H1022" s="60">
        <f t="shared" si="191"/>
        <v>195.3</v>
      </c>
      <c r="I1022" s="60">
        <f t="shared" si="179"/>
        <v>100</v>
      </c>
    </row>
    <row r="1023" spans="1:9" s="194" customFormat="1" ht="24">
      <c r="A1023" s="73" t="s">
        <v>406</v>
      </c>
      <c r="B1023" s="59" t="s">
        <v>769</v>
      </c>
      <c r="C1023" s="59" t="s">
        <v>69</v>
      </c>
      <c r="D1023" s="59" t="s">
        <v>431</v>
      </c>
      <c r="E1023" s="59"/>
      <c r="F1023" s="60">
        <f t="shared" si="191"/>
        <v>195.3</v>
      </c>
      <c r="G1023" s="273">
        <f t="shared" si="191"/>
        <v>0</v>
      </c>
      <c r="H1023" s="60">
        <f t="shared" si="191"/>
        <v>195.3</v>
      </c>
      <c r="I1023" s="60">
        <f t="shared" ref="I1023:I1053" si="192">H1023/F1023*100</f>
        <v>100</v>
      </c>
    </row>
    <row r="1024" spans="1:9" s="194" customFormat="1" ht="36">
      <c r="A1024" s="65" t="s">
        <v>72</v>
      </c>
      <c r="B1024" s="66" t="s">
        <v>769</v>
      </c>
      <c r="C1024" s="66" t="s">
        <v>69</v>
      </c>
      <c r="D1024" s="66" t="s">
        <v>431</v>
      </c>
      <c r="E1024" s="66" t="s">
        <v>73</v>
      </c>
      <c r="F1024" s="67">
        <f t="shared" si="191"/>
        <v>195.3</v>
      </c>
      <c r="G1024" s="272">
        <f t="shared" si="191"/>
        <v>0</v>
      </c>
      <c r="H1024" s="67">
        <f t="shared" si="191"/>
        <v>195.3</v>
      </c>
      <c r="I1024" s="67">
        <f t="shared" si="192"/>
        <v>100</v>
      </c>
    </row>
    <row r="1025" spans="1:9" s="194" customFormat="1" ht="15">
      <c r="A1025" s="65" t="s">
        <v>74</v>
      </c>
      <c r="B1025" s="66" t="s">
        <v>769</v>
      </c>
      <c r="C1025" s="66" t="s">
        <v>69</v>
      </c>
      <c r="D1025" s="66" t="s">
        <v>431</v>
      </c>
      <c r="E1025" s="66" t="s">
        <v>75</v>
      </c>
      <c r="F1025" s="67">
        <v>195.3</v>
      </c>
      <c r="G1025" s="270">
        <v>0</v>
      </c>
      <c r="H1025" s="67">
        <v>195.3</v>
      </c>
      <c r="I1025" s="67">
        <f t="shared" si="192"/>
        <v>100</v>
      </c>
    </row>
    <row r="1026" spans="1:9" s="194" customFormat="1" ht="15">
      <c r="A1026" s="135" t="s">
        <v>103</v>
      </c>
      <c r="B1026" s="59" t="s">
        <v>769</v>
      </c>
      <c r="C1026" s="59" t="s">
        <v>69</v>
      </c>
      <c r="D1026" s="59"/>
      <c r="E1026" s="59"/>
      <c r="F1026" s="60">
        <f t="shared" ref="F1026:H1028" si="193">F1027</f>
        <v>3984.3679999999995</v>
      </c>
      <c r="G1026" s="273">
        <f t="shared" si="193"/>
        <v>2823.1936799999999</v>
      </c>
      <c r="H1026" s="60">
        <f t="shared" si="193"/>
        <v>3984.3679999999995</v>
      </c>
      <c r="I1026" s="60">
        <f t="shared" si="192"/>
        <v>100</v>
      </c>
    </row>
    <row r="1027" spans="1:9" s="194" customFormat="1" ht="36">
      <c r="A1027" s="73" t="s">
        <v>280</v>
      </c>
      <c r="B1027" s="59" t="s">
        <v>769</v>
      </c>
      <c r="C1027" s="59" t="s">
        <v>69</v>
      </c>
      <c r="D1027" s="59" t="s">
        <v>71</v>
      </c>
      <c r="E1027" s="59"/>
      <c r="F1027" s="60">
        <f t="shared" si="193"/>
        <v>3984.3679999999995</v>
      </c>
      <c r="G1027" s="273">
        <f t="shared" si="193"/>
        <v>2823.1936799999999</v>
      </c>
      <c r="H1027" s="60">
        <f t="shared" si="193"/>
        <v>3984.3679999999995</v>
      </c>
      <c r="I1027" s="60">
        <f t="shared" si="192"/>
        <v>100</v>
      </c>
    </row>
    <row r="1028" spans="1:9" s="194" customFormat="1" ht="36">
      <c r="A1028" s="65" t="s">
        <v>72</v>
      </c>
      <c r="B1028" s="66" t="s">
        <v>769</v>
      </c>
      <c r="C1028" s="66" t="s">
        <v>69</v>
      </c>
      <c r="D1028" s="66" t="s">
        <v>71</v>
      </c>
      <c r="E1028" s="66" t="s">
        <v>73</v>
      </c>
      <c r="F1028" s="67">
        <f t="shared" si="193"/>
        <v>3984.3679999999995</v>
      </c>
      <c r="G1028" s="272">
        <f t="shared" si="193"/>
        <v>2823.1936799999999</v>
      </c>
      <c r="H1028" s="67">
        <f t="shared" si="193"/>
        <v>3984.3679999999995</v>
      </c>
      <c r="I1028" s="67">
        <f t="shared" si="192"/>
        <v>100</v>
      </c>
    </row>
    <row r="1029" spans="1:9" s="194" customFormat="1" ht="15">
      <c r="A1029" s="65" t="s">
        <v>74</v>
      </c>
      <c r="B1029" s="66" t="s">
        <v>769</v>
      </c>
      <c r="C1029" s="66" t="s">
        <v>69</v>
      </c>
      <c r="D1029" s="66" t="s">
        <v>71</v>
      </c>
      <c r="E1029" s="66" t="s">
        <v>75</v>
      </c>
      <c r="F1029" s="67">
        <f>2358.055+468.758+376.594+246.046+280.306+254.609</f>
        <v>3984.3679999999995</v>
      </c>
      <c r="G1029" s="272">
        <v>2823.1936799999999</v>
      </c>
      <c r="H1029" s="67">
        <f>2358.055+468.758+376.594+246.046+280.306+254.609</f>
        <v>3984.3679999999995</v>
      </c>
      <c r="I1029" s="67">
        <f t="shared" si="192"/>
        <v>100</v>
      </c>
    </row>
    <row r="1030" spans="1:9" s="194" customFormat="1" ht="15">
      <c r="A1030" s="135" t="s">
        <v>103</v>
      </c>
      <c r="B1030" s="59" t="s">
        <v>769</v>
      </c>
      <c r="C1030" s="59" t="s">
        <v>69</v>
      </c>
      <c r="D1030" s="59"/>
      <c r="E1030" s="59"/>
      <c r="F1030" s="60">
        <f t="shared" ref="F1030:H1032" si="194">F1031</f>
        <v>529.66399999999999</v>
      </c>
      <c r="G1030" s="273">
        <f t="shared" si="194"/>
        <v>529.66102999999998</v>
      </c>
      <c r="H1030" s="60">
        <f t="shared" si="194"/>
        <v>529.66399999999999</v>
      </c>
      <c r="I1030" s="60">
        <f t="shared" si="192"/>
        <v>100</v>
      </c>
    </row>
    <row r="1031" spans="1:9" s="194" customFormat="1" ht="24">
      <c r="A1031" s="58" t="s">
        <v>282</v>
      </c>
      <c r="B1031" s="59" t="s">
        <v>769</v>
      </c>
      <c r="C1031" s="59" t="s">
        <v>69</v>
      </c>
      <c r="D1031" s="59" t="s">
        <v>270</v>
      </c>
      <c r="E1031" s="59"/>
      <c r="F1031" s="60">
        <f t="shared" si="194"/>
        <v>529.66399999999999</v>
      </c>
      <c r="G1031" s="273">
        <f t="shared" si="194"/>
        <v>529.66102999999998</v>
      </c>
      <c r="H1031" s="60">
        <f t="shared" si="194"/>
        <v>529.66399999999999</v>
      </c>
      <c r="I1031" s="60">
        <f t="shared" si="192"/>
        <v>100</v>
      </c>
    </row>
    <row r="1032" spans="1:9" s="194" customFormat="1" ht="36">
      <c r="A1032" s="65" t="s">
        <v>72</v>
      </c>
      <c r="B1032" s="66" t="s">
        <v>769</v>
      </c>
      <c r="C1032" s="66" t="s">
        <v>69</v>
      </c>
      <c r="D1032" s="66" t="s">
        <v>270</v>
      </c>
      <c r="E1032" s="66" t="s">
        <v>73</v>
      </c>
      <c r="F1032" s="67">
        <f t="shared" si="194"/>
        <v>529.66399999999999</v>
      </c>
      <c r="G1032" s="272">
        <f t="shared" si="194"/>
        <v>529.66102999999998</v>
      </c>
      <c r="H1032" s="67">
        <f t="shared" si="194"/>
        <v>529.66399999999999</v>
      </c>
      <c r="I1032" s="67">
        <f t="shared" si="192"/>
        <v>100</v>
      </c>
    </row>
    <row r="1033" spans="1:9" s="194" customFormat="1" ht="15">
      <c r="A1033" s="65" t="s">
        <v>74</v>
      </c>
      <c r="B1033" s="66" t="s">
        <v>769</v>
      </c>
      <c r="C1033" s="66" t="s">
        <v>69</v>
      </c>
      <c r="D1033" s="66" t="s">
        <v>270</v>
      </c>
      <c r="E1033" s="66" t="s">
        <v>75</v>
      </c>
      <c r="F1033" s="67">
        <v>529.66399999999999</v>
      </c>
      <c r="G1033" s="272">
        <v>529.66102999999998</v>
      </c>
      <c r="H1033" s="67">
        <v>529.66399999999999</v>
      </c>
      <c r="I1033" s="67">
        <f t="shared" si="192"/>
        <v>100</v>
      </c>
    </row>
    <row r="1034" spans="1:9" s="194" customFormat="1" ht="15">
      <c r="A1034" s="58" t="s">
        <v>321</v>
      </c>
      <c r="B1034" s="59" t="s">
        <v>769</v>
      </c>
      <c r="C1034" s="59" t="s">
        <v>71</v>
      </c>
      <c r="D1034" s="59"/>
      <c r="E1034" s="59"/>
      <c r="F1034" s="60">
        <f t="shared" ref="F1034:H1036" si="195">F1035</f>
        <v>178.2</v>
      </c>
      <c r="G1034" s="273">
        <f t="shared" si="195"/>
        <v>119.07</v>
      </c>
      <c r="H1034" s="60">
        <f t="shared" si="195"/>
        <v>178.2</v>
      </c>
      <c r="I1034" s="60">
        <f t="shared" si="192"/>
        <v>100</v>
      </c>
    </row>
    <row r="1035" spans="1:9" s="194" customFormat="1" ht="15">
      <c r="A1035" s="58" t="s">
        <v>332</v>
      </c>
      <c r="B1035" s="59" t="s">
        <v>769</v>
      </c>
      <c r="C1035" s="59" t="s">
        <v>71</v>
      </c>
      <c r="D1035" s="59" t="s">
        <v>428</v>
      </c>
      <c r="E1035" s="59"/>
      <c r="F1035" s="60">
        <f t="shared" si="195"/>
        <v>178.2</v>
      </c>
      <c r="G1035" s="273">
        <f t="shared" si="195"/>
        <v>119.07</v>
      </c>
      <c r="H1035" s="60">
        <f t="shared" si="195"/>
        <v>178.2</v>
      </c>
      <c r="I1035" s="60">
        <f t="shared" si="192"/>
        <v>100</v>
      </c>
    </row>
    <row r="1036" spans="1:9" s="194" customFormat="1" ht="36">
      <c r="A1036" s="65" t="s">
        <v>72</v>
      </c>
      <c r="B1036" s="66" t="s">
        <v>769</v>
      </c>
      <c r="C1036" s="66" t="s">
        <v>71</v>
      </c>
      <c r="D1036" s="66" t="s">
        <v>428</v>
      </c>
      <c r="E1036" s="66" t="s">
        <v>73</v>
      </c>
      <c r="F1036" s="67">
        <f t="shared" si="195"/>
        <v>178.2</v>
      </c>
      <c r="G1036" s="272">
        <f t="shared" si="195"/>
        <v>119.07</v>
      </c>
      <c r="H1036" s="67">
        <f t="shared" si="195"/>
        <v>178.2</v>
      </c>
      <c r="I1036" s="67">
        <f t="shared" si="192"/>
        <v>100</v>
      </c>
    </row>
    <row r="1037" spans="1:9" s="194" customFormat="1" ht="15">
      <c r="A1037" s="65" t="s">
        <v>74</v>
      </c>
      <c r="B1037" s="66" t="s">
        <v>769</v>
      </c>
      <c r="C1037" s="66" t="s">
        <v>71</v>
      </c>
      <c r="D1037" s="66" t="s">
        <v>428</v>
      </c>
      <c r="E1037" s="66" t="s">
        <v>75</v>
      </c>
      <c r="F1037" s="67">
        <v>178.2</v>
      </c>
      <c r="G1037" s="272">
        <v>119.07</v>
      </c>
      <c r="H1037" s="67">
        <v>178.2</v>
      </c>
      <c r="I1037" s="67">
        <f t="shared" si="192"/>
        <v>100</v>
      </c>
    </row>
    <row r="1038" spans="1:9" s="194" customFormat="1" ht="24">
      <c r="A1038" s="58" t="s">
        <v>770</v>
      </c>
      <c r="B1038" s="59" t="s">
        <v>769</v>
      </c>
      <c r="C1038" s="59" t="s">
        <v>376</v>
      </c>
      <c r="D1038" s="59"/>
      <c r="E1038" s="59"/>
      <c r="F1038" s="60">
        <f t="shared" ref="F1038:H1040" si="196">F1039</f>
        <v>831.54399999999998</v>
      </c>
      <c r="G1038" s="273">
        <f t="shared" si="196"/>
        <v>778.88964999999996</v>
      </c>
      <c r="H1038" s="60">
        <f t="shared" si="196"/>
        <v>831.54399999999998</v>
      </c>
      <c r="I1038" s="60">
        <f t="shared" si="192"/>
        <v>100</v>
      </c>
    </row>
    <row r="1039" spans="1:9" s="194" customFormat="1" ht="24">
      <c r="A1039" s="58" t="s">
        <v>771</v>
      </c>
      <c r="B1039" s="59" t="s">
        <v>769</v>
      </c>
      <c r="C1039" s="59" t="s">
        <v>376</v>
      </c>
      <c r="D1039" s="59" t="s">
        <v>376</v>
      </c>
      <c r="E1039" s="59"/>
      <c r="F1039" s="60">
        <f t="shared" si="196"/>
        <v>831.54399999999998</v>
      </c>
      <c r="G1039" s="273">
        <f t="shared" si="196"/>
        <v>778.88964999999996</v>
      </c>
      <c r="H1039" s="60">
        <f t="shared" si="196"/>
        <v>831.54399999999998</v>
      </c>
      <c r="I1039" s="60">
        <f t="shared" si="192"/>
        <v>100</v>
      </c>
    </row>
    <row r="1040" spans="1:9" s="194" customFormat="1" ht="36">
      <c r="A1040" s="65" t="s">
        <v>72</v>
      </c>
      <c r="B1040" s="66" t="s">
        <v>769</v>
      </c>
      <c r="C1040" s="66" t="s">
        <v>376</v>
      </c>
      <c r="D1040" s="66" t="s">
        <v>376</v>
      </c>
      <c r="E1040" s="66" t="s">
        <v>73</v>
      </c>
      <c r="F1040" s="67">
        <f t="shared" si="196"/>
        <v>831.54399999999998</v>
      </c>
      <c r="G1040" s="272">
        <f t="shared" si="196"/>
        <v>778.88964999999996</v>
      </c>
      <c r="H1040" s="67">
        <f t="shared" si="196"/>
        <v>831.54399999999998</v>
      </c>
      <c r="I1040" s="67">
        <f t="shared" si="192"/>
        <v>100</v>
      </c>
    </row>
    <row r="1041" spans="1:9" s="194" customFormat="1" ht="15">
      <c r="A1041" s="65" t="s">
        <v>74</v>
      </c>
      <c r="B1041" s="66" t="s">
        <v>769</v>
      </c>
      <c r="C1041" s="66" t="s">
        <v>376</v>
      </c>
      <c r="D1041" s="66" t="s">
        <v>376</v>
      </c>
      <c r="E1041" s="66" t="s">
        <v>75</v>
      </c>
      <c r="F1041" s="67">
        <f>229.785+379.725+222.034</f>
        <v>831.54399999999998</v>
      </c>
      <c r="G1041" s="272">
        <v>778.88964999999996</v>
      </c>
      <c r="H1041" s="67">
        <f>229.785+379.725+222.034</f>
        <v>831.54399999999998</v>
      </c>
      <c r="I1041" s="67">
        <f t="shared" si="192"/>
        <v>100</v>
      </c>
    </row>
    <row r="1042" spans="1:9" s="194" customFormat="1" ht="15">
      <c r="A1042" s="58" t="s">
        <v>338</v>
      </c>
      <c r="B1042" s="59" t="s">
        <v>769</v>
      </c>
      <c r="C1042" s="59" t="s">
        <v>430</v>
      </c>
      <c r="D1042" s="59"/>
      <c r="E1042" s="59"/>
      <c r="F1042" s="60">
        <f t="shared" ref="F1042:H1044" si="197">F1043</f>
        <v>340.71600000000001</v>
      </c>
      <c r="G1042" s="273">
        <f t="shared" si="197"/>
        <v>340.71598999999998</v>
      </c>
      <c r="H1042" s="60">
        <f t="shared" si="197"/>
        <v>340.71600000000001</v>
      </c>
      <c r="I1042" s="60">
        <f t="shared" si="192"/>
        <v>100</v>
      </c>
    </row>
    <row r="1043" spans="1:9" s="194" customFormat="1" ht="15">
      <c r="A1043" s="58" t="s">
        <v>341</v>
      </c>
      <c r="B1043" s="59" t="s">
        <v>769</v>
      </c>
      <c r="C1043" s="59" t="s">
        <v>430</v>
      </c>
      <c r="D1043" s="59" t="s">
        <v>424</v>
      </c>
      <c r="E1043" s="59"/>
      <c r="F1043" s="60">
        <f t="shared" si="197"/>
        <v>340.71600000000001</v>
      </c>
      <c r="G1043" s="273">
        <f t="shared" si="197"/>
        <v>340.71598999999998</v>
      </c>
      <c r="H1043" s="60">
        <f t="shared" si="197"/>
        <v>340.71600000000001</v>
      </c>
      <c r="I1043" s="60">
        <f t="shared" si="192"/>
        <v>100</v>
      </c>
    </row>
    <row r="1044" spans="1:9" s="194" customFormat="1" ht="36">
      <c r="A1044" s="65" t="s">
        <v>72</v>
      </c>
      <c r="B1044" s="66" t="s">
        <v>769</v>
      </c>
      <c r="C1044" s="66" t="s">
        <v>430</v>
      </c>
      <c r="D1044" s="66" t="s">
        <v>424</v>
      </c>
      <c r="E1044" s="66" t="s">
        <v>73</v>
      </c>
      <c r="F1044" s="67">
        <f t="shared" si="197"/>
        <v>340.71600000000001</v>
      </c>
      <c r="G1044" s="272">
        <f t="shared" si="197"/>
        <v>340.71598999999998</v>
      </c>
      <c r="H1044" s="67">
        <f t="shared" si="197"/>
        <v>340.71600000000001</v>
      </c>
      <c r="I1044" s="67">
        <f t="shared" si="192"/>
        <v>100</v>
      </c>
    </row>
    <row r="1045" spans="1:9" s="194" customFormat="1" ht="15">
      <c r="A1045" s="65" t="s">
        <v>74</v>
      </c>
      <c r="B1045" s="66" t="s">
        <v>769</v>
      </c>
      <c r="C1045" s="66" t="s">
        <v>430</v>
      </c>
      <c r="D1045" s="66" t="s">
        <v>424</v>
      </c>
      <c r="E1045" s="66" t="s">
        <v>75</v>
      </c>
      <c r="F1045" s="67">
        <v>340.71600000000001</v>
      </c>
      <c r="G1045" s="272">
        <v>340.71598999999998</v>
      </c>
      <c r="H1045" s="67">
        <v>340.71600000000001</v>
      </c>
      <c r="I1045" s="67">
        <f t="shared" si="192"/>
        <v>100</v>
      </c>
    </row>
    <row r="1046" spans="1:9" s="194" customFormat="1" ht="24">
      <c r="A1046" s="58" t="s">
        <v>772</v>
      </c>
      <c r="B1046" s="59" t="s">
        <v>769</v>
      </c>
      <c r="C1046" s="59" t="s">
        <v>428</v>
      </c>
      <c r="D1046" s="59"/>
      <c r="E1046" s="59"/>
      <c r="F1046" s="60">
        <f t="shared" ref="F1046:H1048" si="198">F1047</f>
        <v>144.45400000000001</v>
      </c>
      <c r="G1046" s="273">
        <f t="shared" si="198"/>
        <v>120.04559999999999</v>
      </c>
      <c r="H1046" s="60">
        <f t="shared" si="198"/>
        <v>144.45400000000001</v>
      </c>
      <c r="I1046" s="60">
        <f t="shared" si="192"/>
        <v>100</v>
      </c>
    </row>
    <row r="1047" spans="1:9" s="194" customFormat="1" ht="24">
      <c r="A1047" s="58" t="s">
        <v>773</v>
      </c>
      <c r="B1047" s="59" t="s">
        <v>769</v>
      </c>
      <c r="C1047" s="59" t="s">
        <v>428</v>
      </c>
      <c r="D1047" s="59" t="s">
        <v>71</v>
      </c>
      <c r="E1047" s="59"/>
      <c r="F1047" s="60">
        <f t="shared" si="198"/>
        <v>144.45400000000001</v>
      </c>
      <c r="G1047" s="273">
        <f t="shared" si="198"/>
        <v>120.04559999999999</v>
      </c>
      <c r="H1047" s="60">
        <f t="shared" si="198"/>
        <v>144.45400000000001</v>
      </c>
      <c r="I1047" s="60">
        <f t="shared" si="192"/>
        <v>100</v>
      </c>
    </row>
    <row r="1048" spans="1:9" s="194" customFormat="1" ht="36">
      <c r="A1048" s="65" t="s">
        <v>72</v>
      </c>
      <c r="B1048" s="66" t="s">
        <v>769</v>
      </c>
      <c r="C1048" s="66" t="s">
        <v>428</v>
      </c>
      <c r="D1048" s="66" t="s">
        <v>71</v>
      </c>
      <c r="E1048" s="66" t="s">
        <v>73</v>
      </c>
      <c r="F1048" s="67">
        <f t="shared" si="198"/>
        <v>144.45400000000001</v>
      </c>
      <c r="G1048" s="272">
        <f t="shared" si="198"/>
        <v>120.04559999999999</v>
      </c>
      <c r="H1048" s="67">
        <f t="shared" si="198"/>
        <v>144.45400000000001</v>
      </c>
      <c r="I1048" s="67">
        <f t="shared" si="192"/>
        <v>100</v>
      </c>
    </row>
    <row r="1049" spans="1:9" s="194" customFormat="1" ht="15">
      <c r="A1049" s="65" t="s">
        <v>74</v>
      </c>
      <c r="B1049" s="66" t="s">
        <v>769</v>
      </c>
      <c r="C1049" s="66" t="s">
        <v>428</v>
      </c>
      <c r="D1049" s="66" t="s">
        <v>71</v>
      </c>
      <c r="E1049" s="66" t="s">
        <v>75</v>
      </c>
      <c r="F1049" s="67">
        <v>144.45400000000001</v>
      </c>
      <c r="G1049" s="272">
        <v>120.04559999999999</v>
      </c>
      <c r="H1049" s="67">
        <v>144.45400000000001</v>
      </c>
      <c r="I1049" s="67">
        <f t="shared" si="192"/>
        <v>100</v>
      </c>
    </row>
    <row r="1050" spans="1:9" s="194" customFormat="1" ht="15">
      <c r="A1050" s="58" t="s">
        <v>353</v>
      </c>
      <c r="B1050" s="59" t="s">
        <v>769</v>
      </c>
      <c r="C1050" s="59" t="s">
        <v>83</v>
      </c>
      <c r="D1050" s="59"/>
      <c r="E1050" s="59"/>
      <c r="F1050" s="60">
        <f t="shared" ref="F1050:H1052" si="199">F1051</f>
        <v>86.153999999999996</v>
      </c>
      <c r="G1050" s="271">
        <f t="shared" si="199"/>
        <v>0</v>
      </c>
      <c r="H1050" s="60">
        <f t="shared" si="199"/>
        <v>86.153999999999996</v>
      </c>
      <c r="I1050" s="60">
        <f t="shared" si="192"/>
        <v>100</v>
      </c>
    </row>
    <row r="1051" spans="1:9" s="194" customFormat="1" ht="15">
      <c r="A1051" s="58" t="s">
        <v>162</v>
      </c>
      <c r="B1051" s="59" t="s">
        <v>769</v>
      </c>
      <c r="C1051" s="59" t="s">
        <v>83</v>
      </c>
      <c r="D1051" s="59" t="s">
        <v>376</v>
      </c>
      <c r="E1051" s="59"/>
      <c r="F1051" s="60">
        <f t="shared" si="199"/>
        <v>86.153999999999996</v>
      </c>
      <c r="G1051" s="271">
        <f t="shared" si="199"/>
        <v>0</v>
      </c>
      <c r="H1051" s="60">
        <f t="shared" si="199"/>
        <v>86.153999999999996</v>
      </c>
      <c r="I1051" s="60">
        <f t="shared" si="192"/>
        <v>100</v>
      </c>
    </row>
    <row r="1052" spans="1:9" s="194" customFormat="1" ht="36">
      <c r="A1052" s="65" t="s">
        <v>72</v>
      </c>
      <c r="B1052" s="66" t="s">
        <v>769</v>
      </c>
      <c r="C1052" s="66" t="s">
        <v>83</v>
      </c>
      <c r="D1052" s="66" t="s">
        <v>376</v>
      </c>
      <c r="E1052" s="66" t="s">
        <v>73</v>
      </c>
      <c r="F1052" s="67">
        <f t="shared" si="199"/>
        <v>86.153999999999996</v>
      </c>
      <c r="G1052" s="270">
        <f t="shared" si="199"/>
        <v>0</v>
      </c>
      <c r="H1052" s="67">
        <f t="shared" si="199"/>
        <v>86.153999999999996</v>
      </c>
      <c r="I1052" s="67">
        <f t="shared" si="192"/>
        <v>100</v>
      </c>
    </row>
    <row r="1053" spans="1:9" s="194" customFormat="1" ht="15">
      <c r="A1053" s="65" t="s">
        <v>74</v>
      </c>
      <c r="B1053" s="66" t="s">
        <v>769</v>
      </c>
      <c r="C1053" s="66" t="s">
        <v>83</v>
      </c>
      <c r="D1053" s="66" t="s">
        <v>376</v>
      </c>
      <c r="E1053" s="66" t="s">
        <v>75</v>
      </c>
      <c r="F1053" s="67">
        <v>86.153999999999996</v>
      </c>
      <c r="G1053" s="270">
        <v>0</v>
      </c>
      <c r="H1053" s="67">
        <v>86.153999999999996</v>
      </c>
      <c r="I1053" s="67">
        <f t="shared" si="192"/>
        <v>100</v>
      </c>
    </row>
    <row r="1054" spans="1:9" hidden="1">
      <c r="A1054" s="23"/>
      <c r="B1054" s="23"/>
      <c r="C1054" s="23"/>
      <c r="D1054" s="23"/>
      <c r="E1054" s="23"/>
    </row>
    <row r="1055" spans="1:9" ht="18.75" hidden="1" customHeight="1">
      <c r="A1055" s="54" t="s">
        <v>775</v>
      </c>
      <c r="B1055" s="37" t="s">
        <v>788</v>
      </c>
      <c r="C1055" s="37"/>
      <c r="D1055" s="37"/>
      <c r="E1055" s="37"/>
    </row>
    <row r="1056" spans="1:9">
      <c r="C1056" s="9"/>
      <c r="D1056" s="9"/>
      <c r="E1056" s="9"/>
    </row>
    <row r="1057" spans="3:5">
      <c r="C1057" s="9"/>
      <c r="D1057" s="9"/>
      <c r="E1057" s="9"/>
    </row>
    <row r="1058" spans="3:5">
      <c r="C1058" s="9"/>
      <c r="D1058" s="9"/>
      <c r="E1058" s="9"/>
    </row>
    <row r="1059" spans="3:5">
      <c r="C1059" s="9"/>
      <c r="D1059" s="9"/>
      <c r="E1059" s="9"/>
    </row>
    <row r="1060" spans="3:5">
      <c r="C1060" s="9"/>
      <c r="D1060" s="9"/>
      <c r="E1060" s="9"/>
    </row>
    <row r="1061" spans="3:5">
      <c r="C1061" s="9"/>
      <c r="D1061" s="9"/>
      <c r="E1061" s="9"/>
    </row>
    <row r="1062" spans="3:5">
      <c r="C1062" s="9"/>
      <c r="D1062" s="9"/>
      <c r="E1062" s="9"/>
    </row>
    <row r="1063" spans="3:5">
      <c r="C1063" s="9"/>
      <c r="D1063" s="9"/>
      <c r="E1063" s="9"/>
    </row>
    <row r="1064" spans="3:5">
      <c r="C1064" s="9"/>
      <c r="D1064" s="9"/>
      <c r="E1064" s="9"/>
    </row>
    <row r="1065" spans="3:5">
      <c r="C1065" s="9"/>
      <c r="D1065" s="9"/>
      <c r="E1065" s="9"/>
    </row>
    <row r="1066" spans="3:5">
      <c r="C1066" s="9"/>
      <c r="D1066" s="9"/>
      <c r="E1066" s="9"/>
    </row>
    <row r="1067" spans="3:5">
      <c r="C1067" s="9"/>
      <c r="D1067" s="9"/>
      <c r="E1067" s="9"/>
    </row>
    <row r="1068" spans="3:5">
      <c r="C1068" s="9"/>
      <c r="D1068" s="9"/>
      <c r="E1068" s="9"/>
    </row>
    <row r="1069" spans="3:5">
      <c r="C1069" s="9"/>
      <c r="D1069" s="9"/>
      <c r="E1069" s="9"/>
    </row>
    <row r="1070" spans="3:5">
      <c r="C1070" s="9"/>
      <c r="D1070" s="9"/>
      <c r="E1070" s="9"/>
    </row>
    <row r="1071" spans="3:5">
      <c r="C1071" s="9"/>
      <c r="D1071" s="9"/>
      <c r="E1071" s="9"/>
    </row>
    <row r="1072" spans="3:5">
      <c r="C1072" s="9"/>
      <c r="D1072" s="9"/>
      <c r="E1072" s="9"/>
    </row>
    <row r="1073" spans="3:5">
      <c r="C1073" s="9"/>
      <c r="D1073" s="9"/>
      <c r="E1073" s="9"/>
    </row>
    <row r="1074" spans="3:5">
      <c r="C1074" s="9"/>
      <c r="D1074" s="9"/>
      <c r="E1074" s="9"/>
    </row>
    <row r="1075" spans="3:5">
      <c r="C1075" s="9"/>
      <c r="D1075" s="9"/>
      <c r="E1075" s="9"/>
    </row>
    <row r="1076" spans="3:5">
      <c r="C1076" s="9"/>
      <c r="D1076" s="9"/>
      <c r="E1076" s="9"/>
    </row>
    <row r="1077" spans="3:5">
      <c r="C1077" s="9"/>
      <c r="D1077" s="9"/>
      <c r="E1077" s="9"/>
    </row>
    <row r="1078" spans="3:5">
      <c r="C1078" s="9"/>
      <c r="D1078" s="9"/>
      <c r="E1078" s="9"/>
    </row>
    <row r="1079" spans="3:5">
      <c r="C1079" s="9"/>
      <c r="D1079" s="9"/>
      <c r="E1079" s="9"/>
    </row>
    <row r="1080" spans="3:5">
      <c r="C1080" s="9"/>
      <c r="D1080" s="9"/>
      <c r="E1080" s="9"/>
    </row>
    <row r="1081" spans="3:5">
      <c r="C1081" s="9"/>
      <c r="D1081" s="9"/>
      <c r="E1081" s="9"/>
    </row>
    <row r="1082" spans="3:5">
      <c r="C1082" s="9"/>
      <c r="D1082" s="9"/>
      <c r="E1082" s="9"/>
    </row>
    <row r="1083" spans="3:5">
      <c r="C1083" s="9"/>
      <c r="D1083" s="9"/>
      <c r="E1083" s="9"/>
    </row>
    <row r="1084" spans="3:5">
      <c r="C1084" s="9"/>
      <c r="D1084" s="9"/>
      <c r="E1084" s="9"/>
    </row>
    <row r="1085" spans="3:5">
      <c r="C1085" s="9"/>
      <c r="D1085" s="9"/>
      <c r="E1085" s="9"/>
    </row>
    <row r="1086" spans="3:5">
      <c r="C1086" s="9"/>
      <c r="D1086" s="9"/>
      <c r="E1086" s="9"/>
    </row>
    <row r="1087" spans="3:5">
      <c r="C1087" s="9"/>
      <c r="D1087" s="9"/>
      <c r="E1087" s="9"/>
    </row>
    <row r="1088" spans="3:5">
      <c r="C1088" s="9"/>
      <c r="D1088" s="9"/>
      <c r="E1088" s="9"/>
    </row>
    <row r="1089" spans="3:5">
      <c r="C1089" s="9"/>
      <c r="D1089" s="9"/>
      <c r="E1089" s="9"/>
    </row>
    <row r="1090" spans="3:5">
      <c r="C1090" s="9"/>
      <c r="D1090" s="9"/>
      <c r="E1090" s="9"/>
    </row>
    <row r="1091" spans="3:5">
      <c r="C1091" s="9"/>
      <c r="D1091" s="9"/>
      <c r="E1091" s="9"/>
    </row>
    <row r="1092" spans="3:5">
      <c r="C1092" s="9"/>
      <c r="D1092" s="9"/>
      <c r="E1092" s="9"/>
    </row>
    <row r="1093" spans="3:5">
      <c r="C1093" s="9"/>
      <c r="D1093" s="9"/>
      <c r="E1093" s="9"/>
    </row>
    <row r="1094" spans="3:5">
      <c r="C1094" s="9"/>
      <c r="D1094" s="9"/>
      <c r="E1094" s="9"/>
    </row>
    <row r="1095" spans="3:5">
      <c r="C1095" s="9"/>
      <c r="D1095" s="9"/>
      <c r="E1095" s="9"/>
    </row>
    <row r="1096" spans="3:5">
      <c r="C1096" s="9"/>
      <c r="D1096" s="9"/>
      <c r="E1096" s="9"/>
    </row>
    <row r="1097" spans="3:5">
      <c r="C1097" s="9"/>
      <c r="D1097" s="9"/>
      <c r="E1097" s="9"/>
    </row>
    <row r="1098" spans="3:5">
      <c r="C1098" s="9"/>
      <c r="D1098" s="9"/>
      <c r="E1098" s="9"/>
    </row>
    <row r="1099" spans="3:5">
      <c r="C1099" s="9"/>
      <c r="D1099" s="9"/>
      <c r="E1099" s="9"/>
    </row>
    <row r="1100" spans="3:5">
      <c r="C1100" s="9"/>
      <c r="D1100" s="9"/>
      <c r="E1100" s="9"/>
    </row>
    <row r="1101" spans="3:5">
      <c r="C1101" s="9"/>
      <c r="D1101" s="9"/>
      <c r="E1101" s="9"/>
    </row>
    <row r="1102" spans="3:5">
      <c r="C1102" s="9"/>
      <c r="D1102" s="9"/>
      <c r="E1102" s="9"/>
    </row>
    <row r="1103" spans="3:5">
      <c r="C1103" s="9"/>
      <c r="D1103" s="9"/>
      <c r="E1103" s="9"/>
    </row>
    <row r="1104" spans="3:5">
      <c r="C1104" s="9"/>
      <c r="D1104" s="9"/>
      <c r="E1104" s="9"/>
    </row>
    <row r="1105" spans="3:5">
      <c r="C1105" s="9"/>
      <c r="D1105" s="9"/>
      <c r="E1105" s="9"/>
    </row>
    <row r="1106" spans="3:5">
      <c r="C1106" s="9"/>
      <c r="D1106" s="9"/>
      <c r="E1106" s="9"/>
    </row>
    <row r="1107" spans="3:5">
      <c r="C1107" s="9"/>
      <c r="D1107" s="9"/>
      <c r="E1107" s="9"/>
    </row>
    <row r="1108" spans="3:5">
      <c r="C1108" s="9"/>
      <c r="D1108" s="9"/>
      <c r="E1108" s="9"/>
    </row>
    <row r="1109" spans="3:5">
      <c r="C1109" s="9"/>
      <c r="D1109" s="9"/>
      <c r="E1109" s="9"/>
    </row>
    <row r="1110" spans="3:5">
      <c r="C1110" s="9"/>
      <c r="D1110" s="9"/>
      <c r="E1110" s="9"/>
    </row>
    <row r="1111" spans="3:5">
      <c r="C1111" s="9"/>
      <c r="D1111" s="9"/>
      <c r="E1111" s="9"/>
    </row>
    <row r="1112" spans="3:5">
      <c r="C1112" s="9"/>
      <c r="D1112" s="9"/>
      <c r="E1112" s="9"/>
    </row>
    <row r="1113" spans="3:5">
      <c r="C1113" s="9"/>
      <c r="D1113" s="9"/>
      <c r="E1113" s="9"/>
    </row>
  </sheetData>
  <autoFilter ref="A6:I1053"/>
  <mergeCells count="3">
    <mergeCell ref="A5:I5"/>
    <mergeCell ref="A2:I3"/>
    <mergeCell ref="A4:I4"/>
  </mergeCells>
  <pageMargins left="0.39370078740157483" right="0.39370078740157483" top="0.39370078740157483" bottom="0.39370078740157483" header="0" footer="0"/>
  <pageSetup paperSize="9" scale="66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E41"/>
  <sheetViews>
    <sheetView tabSelected="1" view="pageBreakPreview" zoomScale="150" zoomScaleNormal="100" zoomScaleSheetLayoutView="150" workbookViewId="0">
      <selection activeCell="A30" sqref="A30:XFD31"/>
    </sheetView>
  </sheetViews>
  <sheetFormatPr defaultRowHeight="12.75"/>
  <cols>
    <col min="1" max="1" width="26.42578125" customWidth="1"/>
    <col min="2" max="2" width="53.42578125" customWidth="1"/>
    <col min="3" max="4" width="15.85546875" customWidth="1"/>
    <col min="5" max="5" width="14.5703125" customWidth="1"/>
  </cols>
  <sheetData>
    <row r="1" spans="1:5" ht="15.75">
      <c r="A1" s="364" t="s">
        <v>782</v>
      </c>
      <c r="B1" s="364"/>
      <c r="C1" s="364"/>
      <c r="D1" s="364"/>
      <c r="E1" s="364"/>
    </row>
    <row r="2" spans="1:5" ht="15.75">
      <c r="A2" s="364" t="s">
        <v>409</v>
      </c>
      <c r="B2" s="364"/>
      <c r="C2" s="364"/>
      <c r="D2" s="364"/>
      <c r="E2" s="364"/>
    </row>
    <row r="3" spans="1:5" ht="15.75">
      <c r="A3" s="364" t="s">
        <v>797</v>
      </c>
      <c r="B3" s="364"/>
      <c r="C3" s="364"/>
      <c r="D3" s="364"/>
      <c r="E3" s="364"/>
    </row>
    <row r="4" spans="1:5" ht="13.5" customHeight="1">
      <c r="A4" s="353" t="s">
        <v>402</v>
      </c>
      <c r="B4" s="353"/>
      <c r="C4" s="353"/>
      <c r="D4" s="353"/>
      <c r="E4" s="353"/>
    </row>
    <row r="5" spans="1:5" ht="42">
      <c r="A5" s="262" t="s">
        <v>401</v>
      </c>
      <c r="B5" s="265" t="s">
        <v>382</v>
      </c>
      <c r="C5" s="28" t="s">
        <v>778</v>
      </c>
      <c r="D5" s="318" t="s">
        <v>779</v>
      </c>
      <c r="E5" s="318" t="s">
        <v>780</v>
      </c>
    </row>
    <row r="6" spans="1:5" ht="47.25">
      <c r="A6" s="19" t="s">
        <v>383</v>
      </c>
      <c r="B6" s="20" t="s">
        <v>105</v>
      </c>
      <c r="C6" s="45">
        <f>C7+C12+C17+C21</f>
        <v>118283.85182999968</v>
      </c>
      <c r="D6" s="45">
        <f>D7+D12+D17+D21</f>
        <v>-379540.38480000035</v>
      </c>
      <c r="E6" s="45">
        <f>E7+E12+E17+E21</f>
        <v>118283.95183000038</v>
      </c>
    </row>
    <row r="7" spans="1:5" s="322" customFormat="1" ht="31.5">
      <c r="A7" s="12" t="s">
        <v>384</v>
      </c>
      <c r="B7" s="3" t="s">
        <v>373</v>
      </c>
      <c r="C7" s="44">
        <f>C8+C10</f>
        <v>14763.199999999953</v>
      </c>
      <c r="D7" s="321">
        <f>D8+D10</f>
        <v>-1154115.01</v>
      </c>
      <c r="E7" s="44">
        <f>E8+E10</f>
        <v>-10893.149999999907</v>
      </c>
    </row>
    <row r="8" spans="1:5" ht="31.5">
      <c r="A8" s="13" t="s">
        <v>385</v>
      </c>
      <c r="B8" s="21" t="s">
        <v>106</v>
      </c>
      <c r="C8" s="43">
        <f>C9</f>
        <v>1168878.21</v>
      </c>
      <c r="D8" s="43">
        <f>D9</f>
        <v>0</v>
      </c>
      <c r="E8" s="43">
        <f>E9</f>
        <v>1143221.8600000001</v>
      </c>
    </row>
    <row r="9" spans="1:5" ht="30.75" customHeight="1">
      <c r="A9" s="13" t="s">
        <v>386</v>
      </c>
      <c r="B9" s="21" t="s">
        <v>104</v>
      </c>
      <c r="C9" s="43">
        <v>1168878.21</v>
      </c>
      <c r="D9" s="43">
        <v>0</v>
      </c>
      <c r="E9" s="43">
        <f>1154115.01+6600+8163.2-10893.15-6600-8163.2</f>
        <v>1143221.8600000001</v>
      </c>
    </row>
    <row r="10" spans="1:5" ht="30.75" customHeight="1">
      <c r="A10" s="13" t="s">
        <v>387</v>
      </c>
      <c r="B10" s="21" t="s">
        <v>107</v>
      </c>
      <c r="C10" s="43">
        <f>C11</f>
        <v>-1154115.01</v>
      </c>
      <c r="D10" s="320">
        <f>D11</f>
        <v>-1154115.01</v>
      </c>
      <c r="E10" s="43">
        <f>E11</f>
        <v>-1154115.01</v>
      </c>
    </row>
    <row r="11" spans="1:5" ht="30.75" customHeight="1">
      <c r="A11" s="13" t="s">
        <v>388</v>
      </c>
      <c r="B11" s="21" t="s">
        <v>109</v>
      </c>
      <c r="C11" s="43">
        <f>-1154115.01</f>
        <v>-1154115.01</v>
      </c>
      <c r="D11" s="320">
        <v>-1154115.01</v>
      </c>
      <c r="E11" s="43">
        <f>-1154115.01</f>
        <v>-1154115.01</v>
      </c>
    </row>
    <row r="12" spans="1:5" ht="33" customHeight="1">
      <c r="A12" s="12" t="s">
        <v>389</v>
      </c>
      <c r="B12" s="3" t="s">
        <v>183</v>
      </c>
      <c r="C12" s="44">
        <f>C15+C13</f>
        <v>-14763.199999999953</v>
      </c>
      <c r="D12" s="321">
        <f>D15+D13</f>
        <v>916679</v>
      </c>
      <c r="E12" s="44">
        <f>E15+E13</f>
        <v>-14763.199999999953</v>
      </c>
    </row>
    <row r="13" spans="1:5" ht="37.5" customHeight="1">
      <c r="A13" s="11" t="s">
        <v>180</v>
      </c>
      <c r="B13" s="32" t="s">
        <v>265</v>
      </c>
      <c r="C13" s="43">
        <f>C14</f>
        <v>916679</v>
      </c>
      <c r="D13" s="320">
        <f>D14</f>
        <v>916679</v>
      </c>
      <c r="E13" s="43">
        <f>E14</f>
        <v>916679</v>
      </c>
    </row>
    <row r="14" spans="1:5" ht="50.25" customHeight="1">
      <c r="A14" s="11" t="s">
        <v>179</v>
      </c>
      <c r="B14" s="32" t="s">
        <v>266</v>
      </c>
      <c r="C14" s="43">
        <f>228294+700000-11615</f>
        <v>916679</v>
      </c>
      <c r="D14" s="320">
        <v>916679</v>
      </c>
      <c r="E14" s="43">
        <f>228294+700000-11615</f>
        <v>916679</v>
      </c>
    </row>
    <row r="15" spans="1:5" ht="48.75" customHeight="1">
      <c r="A15" s="13" t="s">
        <v>181</v>
      </c>
      <c r="B15" s="32" t="s">
        <v>267</v>
      </c>
      <c r="C15" s="43">
        <f>C16</f>
        <v>-931442.2</v>
      </c>
      <c r="D15" s="43">
        <f>D16</f>
        <v>0</v>
      </c>
      <c r="E15" s="43">
        <f>E16</f>
        <v>-931442.2</v>
      </c>
    </row>
    <row r="16" spans="1:5" ht="46.5" customHeight="1">
      <c r="A16" s="13" t="s">
        <v>182</v>
      </c>
      <c r="B16" s="32" t="s">
        <v>268</v>
      </c>
      <c r="C16" s="43">
        <f>-228294-6600-8163.2-700000+11615</f>
        <v>-931442.2</v>
      </c>
      <c r="D16" s="43">
        <v>0</v>
      </c>
      <c r="E16" s="43">
        <f>-228294-6600-8163.2-700000+11615</f>
        <v>-931442.2</v>
      </c>
    </row>
    <row r="17" spans="1:5" s="2" customFormat="1" ht="30.75" customHeight="1">
      <c r="A17" s="12" t="s">
        <v>323</v>
      </c>
      <c r="B17" s="24" t="s">
        <v>137</v>
      </c>
      <c r="C17" s="44">
        <f t="shared" ref="C17:E19" si="0">C18</f>
        <v>0</v>
      </c>
      <c r="D17" s="44">
        <f t="shared" si="0"/>
        <v>0</v>
      </c>
      <c r="E17" s="44">
        <f t="shared" si="0"/>
        <v>0</v>
      </c>
    </row>
    <row r="18" spans="1:5" s="2" customFormat="1" ht="30.75" customHeight="1">
      <c r="A18" s="13" t="s">
        <v>324</v>
      </c>
      <c r="B18" s="21" t="s">
        <v>325</v>
      </c>
      <c r="C18" s="43">
        <f t="shared" si="0"/>
        <v>0</v>
      </c>
      <c r="D18" s="43">
        <f t="shared" si="0"/>
        <v>0</v>
      </c>
      <c r="E18" s="43">
        <f t="shared" si="0"/>
        <v>0</v>
      </c>
    </row>
    <row r="19" spans="1:5" s="2" customFormat="1" ht="30.75" customHeight="1">
      <c r="A19" s="13" t="s">
        <v>326</v>
      </c>
      <c r="B19" s="21" t="s">
        <v>327</v>
      </c>
      <c r="C19" s="43">
        <f t="shared" si="0"/>
        <v>0</v>
      </c>
      <c r="D19" s="43">
        <f t="shared" si="0"/>
        <v>0</v>
      </c>
      <c r="E19" s="43">
        <f t="shared" si="0"/>
        <v>0</v>
      </c>
    </row>
    <row r="20" spans="1:5" s="2" customFormat="1" ht="30.75" customHeight="1">
      <c r="A20" s="13" t="s">
        <v>328</v>
      </c>
      <c r="B20" s="21" t="s">
        <v>329</v>
      </c>
      <c r="C20" s="43">
        <v>0</v>
      </c>
      <c r="D20" s="43">
        <v>0</v>
      </c>
      <c r="E20" s="43">
        <v>0</v>
      </c>
    </row>
    <row r="21" spans="1:5" s="2" customFormat="1" ht="30.75" customHeight="1">
      <c r="A21" s="8" t="s">
        <v>390</v>
      </c>
      <c r="B21" s="46" t="s">
        <v>391</v>
      </c>
      <c r="C21" s="47">
        <f>C22+C26-0.1</f>
        <v>118283.85182999968</v>
      </c>
      <c r="D21" s="47">
        <f>D22+D26</f>
        <v>-142104.37480000034</v>
      </c>
      <c r="E21" s="47">
        <f>E22+E26</f>
        <v>143940.30183000024</v>
      </c>
    </row>
    <row r="22" spans="1:5" s="2" customFormat="1" ht="21" customHeight="1">
      <c r="A22" s="31" t="s">
        <v>163</v>
      </c>
      <c r="B22" s="48" t="s">
        <v>164</v>
      </c>
      <c r="C22" s="49">
        <f t="shared" ref="C22:E24" si="1">C23</f>
        <v>-7943844.7890600003</v>
      </c>
      <c r="D22" s="319">
        <f t="shared" si="1"/>
        <v>-6139687.9697799999</v>
      </c>
      <c r="E22" s="49">
        <f t="shared" si="1"/>
        <v>-8204027.9580599992</v>
      </c>
    </row>
    <row r="23" spans="1:5" s="2" customFormat="1" ht="18" customHeight="1">
      <c r="A23" s="31" t="s">
        <v>165</v>
      </c>
      <c r="B23" s="48" t="s">
        <v>166</v>
      </c>
      <c r="C23" s="49">
        <f t="shared" si="1"/>
        <v>-7943844.7890600003</v>
      </c>
      <c r="D23" s="319">
        <f t="shared" si="1"/>
        <v>-6139687.9697799999</v>
      </c>
      <c r="E23" s="49">
        <f t="shared" si="1"/>
        <v>-8204027.9580599992</v>
      </c>
    </row>
    <row r="24" spans="1:5" s="2" customFormat="1" ht="17.25" customHeight="1">
      <c r="A24" s="31" t="s">
        <v>167</v>
      </c>
      <c r="B24" s="48" t="s">
        <v>168</v>
      </c>
      <c r="C24" s="49">
        <f t="shared" si="1"/>
        <v>-7943844.7890600003</v>
      </c>
      <c r="D24" s="319">
        <f t="shared" si="1"/>
        <v>-6139687.9697799999</v>
      </c>
      <c r="E24" s="49">
        <f t="shared" si="1"/>
        <v>-8204027.9580599992</v>
      </c>
    </row>
    <row r="25" spans="1:5" s="2" customFormat="1" ht="30.75" customHeight="1">
      <c r="A25" s="31" t="s">
        <v>169</v>
      </c>
      <c r="B25" s="48" t="s">
        <v>170</v>
      </c>
      <c r="C25" s="49">
        <v>-7943844.7890600003</v>
      </c>
      <c r="D25" s="319">
        <v>-6139687.9697799999</v>
      </c>
      <c r="E25" s="49">
        <f>-5951829.79806-1154115.01-6600-8163.2-916679+10893.15-192297.3+6600+8163.2</f>
        <v>-8204027.9580599992</v>
      </c>
    </row>
    <row r="26" spans="1:5" s="2" customFormat="1" ht="15.75" customHeight="1">
      <c r="A26" s="31" t="s">
        <v>171</v>
      </c>
      <c r="B26" s="48" t="s">
        <v>172</v>
      </c>
      <c r="C26" s="49">
        <f t="shared" ref="C26:E28" si="2">C27</f>
        <v>8062128.74089</v>
      </c>
      <c r="D26" s="319">
        <f t="shared" si="2"/>
        <v>5997583.5949799996</v>
      </c>
      <c r="E26" s="49">
        <f t="shared" si="2"/>
        <v>8347968.2598899994</v>
      </c>
    </row>
    <row r="27" spans="1:5" s="2" customFormat="1" ht="14.25" customHeight="1">
      <c r="A27" s="31" t="s">
        <v>173</v>
      </c>
      <c r="B27" s="48" t="s">
        <v>174</v>
      </c>
      <c r="C27" s="49">
        <f t="shared" si="2"/>
        <v>8062128.74089</v>
      </c>
      <c r="D27" s="319">
        <f t="shared" si="2"/>
        <v>5997583.5949799996</v>
      </c>
      <c r="E27" s="49">
        <f t="shared" si="2"/>
        <v>8347968.2598899994</v>
      </c>
    </row>
    <row r="28" spans="1:5" s="2" customFormat="1" ht="24" customHeight="1">
      <c r="A28" s="31" t="s">
        <v>175</v>
      </c>
      <c r="B28" s="48" t="s">
        <v>176</v>
      </c>
      <c r="C28" s="49">
        <f t="shared" si="2"/>
        <v>8062128.74089</v>
      </c>
      <c r="D28" s="319">
        <f t="shared" si="2"/>
        <v>5997583.5949799996</v>
      </c>
      <c r="E28" s="49">
        <f t="shared" si="2"/>
        <v>8347968.2598899994</v>
      </c>
    </row>
    <row r="29" spans="1:5" s="2" customFormat="1" ht="30.75" customHeight="1">
      <c r="A29" s="31" t="s">
        <v>177</v>
      </c>
      <c r="B29" s="48" t="s">
        <v>178</v>
      </c>
      <c r="C29" s="49">
        <v>8062128.74089</v>
      </c>
      <c r="D29" s="319">
        <v>5997583.5949799996</v>
      </c>
      <c r="E29" s="49">
        <f>6070113.74989+1154115.01+6600+8163.2+916679+192297.3</f>
        <v>8347968.2598899994</v>
      </c>
    </row>
    <row r="30" spans="1:5" s="2" customFormat="1" ht="14.25" hidden="1" customHeight="1">
      <c r="A30" s="34"/>
      <c r="B30" s="35"/>
      <c r="C30" s="36"/>
      <c r="D30" s="36"/>
      <c r="E30" s="36"/>
    </row>
    <row r="31" spans="1:5" s="2" customFormat="1" ht="27" hidden="1" customHeight="1">
      <c r="A31" s="371" t="s">
        <v>775</v>
      </c>
      <c r="B31" s="372"/>
      <c r="C31" s="372"/>
      <c r="D31" s="264"/>
      <c r="E31" s="264"/>
    </row>
    <row r="32" spans="1:5" s="2" customFormat="1">
      <c r="C32" s="18"/>
      <c r="D32" s="18"/>
      <c r="E32" s="18"/>
    </row>
    <row r="33" spans="3:5" s="2" customFormat="1">
      <c r="C33" s="18"/>
      <c r="D33" s="18"/>
      <c r="E33" s="18"/>
    </row>
    <row r="34" spans="3:5" s="2" customFormat="1">
      <c r="C34" s="18"/>
      <c r="D34" s="18"/>
      <c r="E34" s="18"/>
    </row>
    <row r="35" spans="3:5" s="2" customFormat="1">
      <c r="C35" s="18"/>
      <c r="D35" s="18"/>
      <c r="E35" s="18"/>
    </row>
    <row r="36" spans="3:5" s="2" customFormat="1">
      <c r="C36" s="18"/>
      <c r="D36" s="18"/>
      <c r="E36" s="18"/>
    </row>
    <row r="37" spans="3:5" s="2" customFormat="1">
      <c r="C37" s="18"/>
      <c r="D37" s="18"/>
      <c r="E37" s="18"/>
    </row>
    <row r="38" spans="3:5" s="2" customFormat="1">
      <c r="C38" s="18"/>
      <c r="D38" s="18"/>
      <c r="E38" s="18"/>
    </row>
    <row r="39" spans="3:5">
      <c r="C39" s="14"/>
      <c r="D39" s="14"/>
      <c r="E39" s="14"/>
    </row>
    <row r="40" spans="3:5">
      <c r="C40" s="14"/>
      <c r="D40" s="14"/>
      <c r="E40" s="14"/>
    </row>
    <row r="41" spans="3:5">
      <c r="C41" s="14"/>
      <c r="D41" s="14"/>
      <c r="E41" s="14"/>
    </row>
  </sheetData>
  <mergeCells count="5">
    <mergeCell ref="A3:E3"/>
    <mergeCell ref="A2:E2"/>
    <mergeCell ref="A1:E1"/>
    <mergeCell ref="A4:E4"/>
    <mergeCell ref="A31:C31"/>
  </mergeCells>
  <pageMargins left="0.39370078740157483" right="0.39370078740157483" top="0.39370078740157483" bottom="0.39370078740157483" header="0" footer="0"/>
  <pageSetup paperSize="9" scale="77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Доходы 2021 год</vt:lpstr>
      <vt:lpstr> Ведомственная 2021 </vt:lpstr>
      <vt:lpstr>Расходы 2021</vt:lpstr>
      <vt:lpstr>МП, ВЦП и НПР 2021 год (2)</vt:lpstr>
      <vt:lpstr>Источники 2021 год</vt:lpstr>
      <vt:lpstr>' Ведомственная 2021 '!Заголовки_для_печати</vt:lpstr>
      <vt:lpstr>'МП, ВЦП и НПР 2021 год (2)'!Заголовки_для_печати</vt:lpstr>
      <vt:lpstr>'Расходы 2021'!Заголовки_для_печати</vt:lpstr>
      <vt:lpstr>' Ведомственная 2021 '!Область_печати</vt:lpstr>
      <vt:lpstr>'Доходы 2021 год'!Область_печати</vt:lpstr>
      <vt:lpstr>'МП, ВЦП и НПР 2021 год (2)'!Область_печати</vt:lpstr>
      <vt:lpstr>'Расходы 2021'!Область_печати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Лариса Гостиева</cp:lastModifiedBy>
  <cp:lastPrinted>2021-11-15T07:48:22Z</cp:lastPrinted>
  <dcterms:created xsi:type="dcterms:W3CDTF">2010-10-28T10:47:01Z</dcterms:created>
  <dcterms:modified xsi:type="dcterms:W3CDTF">2021-11-15T07:49:46Z</dcterms:modified>
</cp:coreProperties>
</file>